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рий\Documents\Copy2022\Publish\Monograph\Selection&amp;Seed\"/>
    </mc:Choice>
  </mc:AlternateContent>
  <bookViews>
    <workbookView xWindow="0" yWindow="0" windowWidth="28800" windowHeight="12435" tabRatio="691" firstSheet="1" activeTab="14"/>
  </bookViews>
  <sheets>
    <sheet name="ИсхСел" sheetId="9" r:id="rId1"/>
    <sheet name="ИсхСем" sheetId="10" r:id="rId2"/>
    <sheet name="ИсхТовар" sheetId="11" r:id="rId3"/>
    <sheet name="1сел" sheetId="2" r:id="rId4"/>
    <sheet name="2сем" sheetId="3" r:id="rId5"/>
    <sheet name="3товар" sheetId="5" r:id="rId6"/>
    <sheet name="Rate" sheetId="4" r:id="rId7"/>
    <sheet name="Сводный" sheetId="22" r:id="rId8"/>
    <sheet name="Итоги" sheetId="23" r:id="rId9"/>
    <sheet name="SV-C" sheetId="19" r:id="rId10"/>
    <sheet name="ЦенаНаСемена" sheetId="24" r:id="rId11"/>
    <sheet name="Свод21" sheetId="12" r:id="rId12"/>
    <sheet name="Sv-1" sheetId="17" r:id="rId13"/>
    <sheet name="SV-B" sheetId="18" r:id="rId14"/>
    <sheet name="SVсел" sheetId="21" r:id="rId15"/>
    <sheet name="Sv-A" sheetId="13" r:id="rId16"/>
    <sheet name="Лист1" sheetId="20" r:id="rId17"/>
    <sheet name="Общ - 1" sheetId="1" r:id="rId18"/>
    <sheet name="25X" sheetId="8" state="hidden" r:id="rId19"/>
    <sheet name="24окт" sheetId="7" state="hidden" r:id="rId20"/>
  </sheets>
  <definedNames>
    <definedName name="_GoBack" localSheetId="18">'25X'!$C$46</definedName>
  </definedNames>
  <calcPr calcId="152511"/>
</workbook>
</file>

<file path=xl/calcChain.xml><?xml version="1.0" encoding="utf-8"?>
<calcChain xmlns="http://schemas.openxmlformats.org/spreadsheetml/2006/main">
  <c r="C14" i="10" l="1"/>
  <c r="B20" i="9"/>
  <c r="C13" i="10" s="1"/>
  <c r="E26" i="9" l="1"/>
  <c r="I6" i="9"/>
  <c r="E30" i="9"/>
  <c r="B10" i="11" s="1"/>
  <c r="B6" i="11"/>
  <c r="M14" i="23"/>
  <c r="J7" i="23"/>
  <c r="B12" i="2"/>
  <c r="W74" i="22"/>
  <c r="X74" i="22"/>
  <c r="V45" i="22"/>
  <c r="U45" i="22"/>
  <c r="T45" i="22"/>
  <c r="Q45" i="22"/>
  <c r="N45" i="22"/>
  <c r="K45" i="22"/>
  <c r="H45" i="22"/>
  <c r="G45" i="22"/>
  <c r="F45" i="22"/>
  <c r="E45" i="22"/>
  <c r="D45" i="22"/>
  <c r="C45" i="22"/>
  <c r="V44" i="22"/>
  <c r="V46" i="22" s="1"/>
  <c r="U44" i="22"/>
  <c r="T44" i="22"/>
  <c r="T46" i="22" s="1"/>
  <c r="R44" i="22"/>
  <c r="Q44" i="22"/>
  <c r="O44" i="22"/>
  <c r="N44" i="22"/>
  <c r="L44" i="22"/>
  <c r="K44" i="22"/>
  <c r="I44" i="22"/>
  <c r="H44" i="22"/>
  <c r="H46" i="22" s="1"/>
  <c r="G44" i="22"/>
  <c r="F44" i="22"/>
  <c r="E44" i="22"/>
  <c r="E46" i="22" s="1"/>
  <c r="D44" i="22"/>
  <c r="D46" i="22" s="1"/>
  <c r="C44" i="22"/>
  <c r="C46" i="22" s="1"/>
  <c r="V41" i="22"/>
  <c r="U41" i="22"/>
  <c r="T41" i="22"/>
  <c r="Q41" i="22"/>
  <c r="Q49" i="22" s="1"/>
  <c r="P41" i="22"/>
  <c r="O41" i="22"/>
  <c r="N41" i="22"/>
  <c r="M41" i="22"/>
  <c r="L41" i="22"/>
  <c r="K41" i="22"/>
  <c r="J41" i="22"/>
  <c r="I41" i="22"/>
  <c r="H41" i="22"/>
  <c r="G41" i="22"/>
  <c r="F41" i="22"/>
  <c r="E41" i="22"/>
  <c r="E49" i="22" s="1"/>
  <c r="D41" i="22"/>
  <c r="C41" i="22"/>
  <c r="U40" i="22"/>
  <c r="T40" i="22"/>
  <c r="R40" i="22"/>
  <c r="Q40" i="22"/>
  <c r="P40" i="22"/>
  <c r="O40" i="22"/>
  <c r="N40" i="22"/>
  <c r="N48" i="22" s="1"/>
  <c r="M40" i="22"/>
  <c r="L40" i="22"/>
  <c r="K40" i="22"/>
  <c r="J40" i="22"/>
  <c r="I40" i="22"/>
  <c r="H40" i="22"/>
  <c r="G40" i="22"/>
  <c r="F40" i="22"/>
  <c r="E40" i="22"/>
  <c r="D40" i="22"/>
  <c r="C40" i="22"/>
  <c r="B40" i="22"/>
  <c r="B45" i="22"/>
  <c r="B44" i="22"/>
  <c r="B41" i="22"/>
  <c r="V49" i="22"/>
  <c r="V34" i="22"/>
  <c r="U34" i="22"/>
  <c r="T34" i="22"/>
  <c r="R34" i="22"/>
  <c r="Q34" i="22"/>
  <c r="O34" i="22"/>
  <c r="N34" i="22"/>
  <c r="L34" i="22"/>
  <c r="K34" i="22"/>
  <c r="I34" i="22"/>
  <c r="H34" i="22"/>
  <c r="W39" i="22"/>
  <c r="X39" i="22"/>
  <c r="C33" i="22"/>
  <c r="D33" i="22"/>
  <c r="E33" i="22"/>
  <c r="F33" i="22"/>
  <c r="G33" i="22"/>
  <c r="H33" i="22"/>
  <c r="I33" i="22"/>
  <c r="J33" i="22"/>
  <c r="B33" i="22"/>
  <c r="Q30" i="22"/>
  <c r="R30" i="22"/>
  <c r="T30" i="22"/>
  <c r="U30" i="22"/>
  <c r="V30" i="22"/>
  <c r="C29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B29" i="22"/>
  <c r="G46" i="22" l="1"/>
  <c r="U49" i="22"/>
  <c r="U46" i="22"/>
  <c r="F46" i="22"/>
  <c r="N49" i="22"/>
  <c r="F48" i="22"/>
  <c r="R48" i="22"/>
  <c r="K48" i="22"/>
  <c r="E42" i="22"/>
  <c r="I42" i="22"/>
  <c r="M42" i="22"/>
  <c r="Q42" i="22"/>
  <c r="C49" i="22"/>
  <c r="G49" i="22"/>
  <c r="K49" i="22"/>
  <c r="Q31" i="22"/>
  <c r="D42" i="22"/>
  <c r="H42" i="22"/>
  <c r="L42" i="22"/>
  <c r="P42" i="22"/>
  <c r="U42" i="22"/>
  <c r="F49" i="22"/>
  <c r="N46" i="22"/>
  <c r="C48" i="22"/>
  <c r="K46" i="22"/>
  <c r="Q46" i="22"/>
  <c r="J42" i="22"/>
  <c r="N42" i="22"/>
  <c r="R31" i="22"/>
  <c r="Q48" i="22"/>
  <c r="C42" i="22"/>
  <c r="G42" i="22"/>
  <c r="K42" i="22"/>
  <c r="O42" i="22"/>
  <c r="H37" i="22"/>
  <c r="D37" i="22"/>
  <c r="R38" i="22"/>
  <c r="T42" i="22"/>
  <c r="I37" i="22"/>
  <c r="E37" i="22"/>
  <c r="Q38" i="22"/>
  <c r="V38" i="22"/>
  <c r="U38" i="22"/>
  <c r="G37" i="22"/>
  <c r="T38" i="22"/>
  <c r="D49" i="22"/>
  <c r="H49" i="22"/>
  <c r="T49" i="22"/>
  <c r="C37" i="22"/>
  <c r="H35" i="22"/>
  <c r="B37" i="22"/>
  <c r="F37" i="22"/>
  <c r="J37" i="22"/>
  <c r="E48" i="22"/>
  <c r="O48" i="22"/>
  <c r="U48" i="22"/>
  <c r="I35" i="22"/>
  <c r="I48" i="22"/>
  <c r="G48" i="22"/>
  <c r="F42" i="22"/>
  <c r="B48" i="22"/>
  <c r="B49" i="22"/>
  <c r="D48" i="22"/>
  <c r="H48" i="22"/>
  <c r="L48" i="22"/>
  <c r="T48" i="22"/>
  <c r="B46" i="22"/>
  <c r="B42" i="22"/>
  <c r="K48" i="24"/>
  <c r="J48" i="24"/>
  <c r="I48" i="24"/>
  <c r="H48" i="24"/>
  <c r="G48" i="24"/>
  <c r="F48" i="24"/>
  <c r="E48" i="24"/>
  <c r="D48" i="24"/>
  <c r="C48" i="24"/>
  <c r="I47" i="24"/>
  <c r="H47" i="24"/>
  <c r="C45" i="24"/>
  <c r="D45" i="24" s="1"/>
  <c r="E45" i="24" s="1"/>
  <c r="F45" i="24" s="1"/>
  <c r="G45" i="24" s="1"/>
  <c r="H45" i="24" s="1"/>
  <c r="I45" i="24" s="1"/>
  <c r="J45" i="24" s="1"/>
  <c r="K45" i="24" s="1"/>
  <c r="L45" i="24" s="1"/>
  <c r="M45" i="24" s="1"/>
  <c r="N45" i="24" s="1"/>
  <c r="O45" i="24" s="1"/>
  <c r="P45" i="24" s="1"/>
  <c r="Q45" i="24" s="1"/>
  <c r="R45" i="24" s="1"/>
  <c r="S45" i="24" s="1"/>
  <c r="T45" i="24" s="1"/>
  <c r="U45" i="24" s="1"/>
  <c r="V45" i="24" s="1"/>
  <c r="W45" i="24" s="1"/>
  <c r="I31" i="24"/>
  <c r="H31" i="24"/>
  <c r="G31" i="24"/>
  <c r="F31" i="24"/>
  <c r="E31" i="24"/>
  <c r="D31" i="24"/>
  <c r="C31" i="24"/>
  <c r="B31" i="24"/>
  <c r="W28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E25" i="24"/>
  <c r="W21" i="24"/>
  <c r="C20" i="24"/>
  <c r="D20" i="24" s="1"/>
  <c r="E20" i="24" s="1"/>
  <c r="F20" i="24" s="1"/>
  <c r="G20" i="24" s="1"/>
  <c r="H20" i="24" s="1"/>
  <c r="I20" i="24" s="1"/>
  <c r="J20" i="24" s="1"/>
  <c r="K20" i="24" s="1"/>
  <c r="L20" i="24" s="1"/>
  <c r="M20" i="24" s="1"/>
  <c r="N20" i="24" s="1"/>
  <c r="O20" i="24" s="1"/>
  <c r="P20" i="24" s="1"/>
  <c r="Q20" i="24" s="1"/>
  <c r="R20" i="24" s="1"/>
  <c r="S20" i="24" s="1"/>
  <c r="T20" i="24" s="1"/>
  <c r="U20" i="24" s="1"/>
  <c r="V20" i="24" s="1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W9" i="24"/>
  <c r="V8" i="24"/>
  <c r="U8" i="24"/>
  <c r="T8" i="24"/>
  <c r="S8" i="24"/>
  <c r="R8" i="24"/>
  <c r="R13" i="24" s="1"/>
  <c r="Q8" i="24"/>
  <c r="C3" i="24"/>
  <c r="D3" i="24" s="1"/>
  <c r="E3" i="24" s="1"/>
  <c r="F3" i="24" s="1"/>
  <c r="G3" i="24" s="1"/>
  <c r="H3" i="24" s="1"/>
  <c r="I3" i="24" s="1"/>
  <c r="J3" i="24" s="1"/>
  <c r="K3" i="24" s="1"/>
  <c r="L3" i="24" s="1"/>
  <c r="M3" i="24" s="1"/>
  <c r="N3" i="24" s="1"/>
  <c r="O3" i="24" s="1"/>
  <c r="P3" i="24" s="1"/>
  <c r="Q3" i="24" s="1"/>
  <c r="R3" i="24" s="1"/>
  <c r="S3" i="24" s="1"/>
  <c r="T3" i="24" s="1"/>
  <c r="U3" i="24" s="1"/>
  <c r="V3" i="24" s="1"/>
  <c r="AA6" i="22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5" i="22"/>
  <c r="C2" i="22"/>
  <c r="D2" i="22" s="1"/>
  <c r="E2" i="22" s="1"/>
  <c r="F2" i="22" s="1"/>
  <c r="G2" i="22" s="1"/>
  <c r="H2" i="22" s="1"/>
  <c r="I2" i="22" s="1"/>
  <c r="J2" i="22" s="1"/>
  <c r="K2" i="22" s="1"/>
  <c r="L2" i="22" s="1"/>
  <c r="M2" i="22" s="1"/>
  <c r="N2" i="22" s="1"/>
  <c r="O2" i="22" s="1"/>
  <c r="P2" i="22" s="1"/>
  <c r="Q2" i="22" s="1"/>
  <c r="R2" i="22" s="1"/>
  <c r="S2" i="22" s="1"/>
  <c r="T2" i="22" s="1"/>
  <c r="U2" i="22" s="1"/>
  <c r="V2" i="22" s="1"/>
  <c r="V32" i="20"/>
  <c r="U32" i="20"/>
  <c r="T32" i="20"/>
  <c r="R32" i="20"/>
  <c r="Q32" i="20"/>
  <c r="O32" i="20"/>
  <c r="N32" i="20"/>
  <c r="L32" i="20"/>
  <c r="K32" i="20"/>
  <c r="I32" i="20"/>
  <c r="H32" i="20"/>
  <c r="V39" i="20"/>
  <c r="U39" i="20"/>
  <c r="T39" i="20"/>
  <c r="R39" i="20"/>
  <c r="Q39" i="20"/>
  <c r="O39" i="20"/>
  <c r="N39" i="20"/>
  <c r="L39" i="20"/>
  <c r="K39" i="20"/>
  <c r="I39" i="20"/>
  <c r="H39" i="20"/>
  <c r="G39" i="20"/>
  <c r="F39" i="20"/>
  <c r="E39" i="20"/>
  <c r="D39" i="20"/>
  <c r="C39" i="20"/>
  <c r="B39" i="20"/>
  <c r="C105" i="20"/>
  <c r="D105" i="20" s="1"/>
  <c r="E105" i="20" s="1"/>
  <c r="F105" i="20" s="1"/>
  <c r="G105" i="20" s="1"/>
  <c r="H105" i="20" s="1"/>
  <c r="I105" i="20" s="1"/>
  <c r="J105" i="20" s="1"/>
  <c r="K105" i="20" s="1"/>
  <c r="L105" i="20" s="1"/>
  <c r="M105" i="20" s="1"/>
  <c r="N105" i="20" s="1"/>
  <c r="O105" i="20" s="1"/>
  <c r="P105" i="20" s="1"/>
  <c r="Q105" i="20" s="1"/>
  <c r="R105" i="20" s="1"/>
  <c r="S105" i="20" s="1"/>
  <c r="T105" i="20" s="1"/>
  <c r="U105" i="20" s="1"/>
  <c r="V105" i="20" s="1"/>
  <c r="W105" i="20" s="1"/>
  <c r="B103" i="20"/>
  <c r="A97" i="20"/>
  <c r="A88" i="20"/>
  <c r="A87" i="20"/>
  <c r="A86" i="20"/>
  <c r="A79" i="20"/>
  <c r="A84" i="20" s="1"/>
  <c r="A78" i="20"/>
  <c r="A83" i="20" s="1"/>
  <c r="A77" i="20"/>
  <c r="A82" i="20" s="1"/>
  <c r="A76" i="20"/>
  <c r="A81" i="20" s="1"/>
  <c r="B74" i="20"/>
  <c r="J37" i="20"/>
  <c r="I37" i="20"/>
  <c r="H37" i="20"/>
  <c r="G37" i="20"/>
  <c r="F37" i="20"/>
  <c r="E37" i="20"/>
  <c r="D37" i="20"/>
  <c r="C37" i="20"/>
  <c r="B37" i="20"/>
  <c r="X36" i="20"/>
  <c r="W36" i="20"/>
  <c r="V34" i="20"/>
  <c r="U34" i="20"/>
  <c r="T34" i="20"/>
  <c r="Q34" i="20"/>
  <c r="N34" i="20"/>
  <c r="K34" i="20"/>
  <c r="H34" i="20"/>
  <c r="G34" i="20"/>
  <c r="F34" i="20"/>
  <c r="E34" i="20"/>
  <c r="D34" i="20"/>
  <c r="C34" i="20"/>
  <c r="B34" i="20"/>
  <c r="U11" i="20"/>
  <c r="T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X8" i="20"/>
  <c r="W8" i="20"/>
  <c r="V6" i="20"/>
  <c r="U6" i="20"/>
  <c r="T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V4" i="20"/>
  <c r="U4" i="20"/>
  <c r="T4" i="20"/>
  <c r="R4" i="20"/>
  <c r="Q4" i="20"/>
  <c r="C2" i="20"/>
  <c r="C74" i="20" s="1"/>
  <c r="C105" i="21"/>
  <c r="D105" i="21" s="1"/>
  <c r="E105" i="21" s="1"/>
  <c r="F105" i="21" s="1"/>
  <c r="G105" i="21" s="1"/>
  <c r="H105" i="21" s="1"/>
  <c r="I105" i="21" s="1"/>
  <c r="J105" i="21" s="1"/>
  <c r="K105" i="21" s="1"/>
  <c r="L105" i="21" s="1"/>
  <c r="M105" i="21" s="1"/>
  <c r="N105" i="21" s="1"/>
  <c r="O105" i="21" s="1"/>
  <c r="P105" i="21" s="1"/>
  <c r="Q105" i="21" s="1"/>
  <c r="R105" i="21" s="1"/>
  <c r="S105" i="21" s="1"/>
  <c r="T105" i="21" s="1"/>
  <c r="U105" i="21" s="1"/>
  <c r="V105" i="21" s="1"/>
  <c r="W105" i="21" s="1"/>
  <c r="B103" i="21"/>
  <c r="A97" i="21"/>
  <c r="A88" i="21"/>
  <c r="A87" i="21"/>
  <c r="A86" i="21"/>
  <c r="A79" i="21"/>
  <c r="A84" i="21" s="1"/>
  <c r="A78" i="21"/>
  <c r="A83" i="21" s="1"/>
  <c r="A77" i="21"/>
  <c r="A82" i="21" s="1"/>
  <c r="A76" i="21"/>
  <c r="A81" i="21" s="1"/>
  <c r="B74" i="21"/>
  <c r="V39" i="21"/>
  <c r="U39" i="21"/>
  <c r="T39" i="21"/>
  <c r="R39" i="21"/>
  <c r="Q39" i="21"/>
  <c r="O39" i="21"/>
  <c r="N39" i="21"/>
  <c r="L39" i="21"/>
  <c r="K39" i="21"/>
  <c r="I39" i="21"/>
  <c r="H39" i="21"/>
  <c r="G39" i="21"/>
  <c r="F39" i="21"/>
  <c r="E39" i="21"/>
  <c r="D39" i="21"/>
  <c r="C39" i="21"/>
  <c r="B39" i="21"/>
  <c r="J37" i="21"/>
  <c r="I37" i="21"/>
  <c r="H37" i="21"/>
  <c r="G37" i="21"/>
  <c r="F37" i="21"/>
  <c r="E37" i="21"/>
  <c r="D37" i="21"/>
  <c r="C37" i="21"/>
  <c r="B37" i="21"/>
  <c r="X36" i="21"/>
  <c r="W36" i="21"/>
  <c r="V34" i="21"/>
  <c r="U34" i="21"/>
  <c r="T34" i="21"/>
  <c r="Q34" i="21"/>
  <c r="N34" i="21"/>
  <c r="K34" i="21"/>
  <c r="H34" i="21"/>
  <c r="G34" i="21"/>
  <c r="F34" i="21"/>
  <c r="E34" i="21"/>
  <c r="D34" i="21"/>
  <c r="C34" i="21"/>
  <c r="B34" i="21"/>
  <c r="V32" i="21"/>
  <c r="U32" i="21"/>
  <c r="T32" i="21"/>
  <c r="R32" i="21"/>
  <c r="Q32" i="21"/>
  <c r="O32" i="21"/>
  <c r="N32" i="21"/>
  <c r="L32" i="21"/>
  <c r="K32" i="21"/>
  <c r="I32" i="21"/>
  <c r="H32" i="21"/>
  <c r="U11" i="21"/>
  <c r="T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X8" i="21"/>
  <c r="W8" i="21"/>
  <c r="V6" i="21"/>
  <c r="U6" i="21"/>
  <c r="T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V4" i="21"/>
  <c r="U4" i="21"/>
  <c r="T4" i="21"/>
  <c r="R4" i="21"/>
  <c r="Q4" i="21"/>
  <c r="C2" i="21"/>
  <c r="C74" i="21" s="1"/>
  <c r="C105" i="19"/>
  <c r="D105" i="19" s="1"/>
  <c r="E105" i="19" s="1"/>
  <c r="F105" i="19" s="1"/>
  <c r="G105" i="19" s="1"/>
  <c r="H105" i="19" s="1"/>
  <c r="I105" i="19" s="1"/>
  <c r="J105" i="19" s="1"/>
  <c r="K105" i="19" s="1"/>
  <c r="L105" i="19" s="1"/>
  <c r="M105" i="19" s="1"/>
  <c r="N105" i="19" s="1"/>
  <c r="O105" i="19" s="1"/>
  <c r="P105" i="19" s="1"/>
  <c r="Q105" i="19" s="1"/>
  <c r="R105" i="19" s="1"/>
  <c r="S105" i="19" s="1"/>
  <c r="T105" i="19" s="1"/>
  <c r="U105" i="19" s="1"/>
  <c r="V105" i="19" s="1"/>
  <c r="W105" i="19" s="1"/>
  <c r="B103" i="19"/>
  <c r="A97" i="19"/>
  <c r="A88" i="19"/>
  <c r="A87" i="19"/>
  <c r="A86" i="19"/>
  <c r="A79" i="19"/>
  <c r="A84" i="19" s="1"/>
  <c r="A78" i="19"/>
  <c r="A83" i="19" s="1"/>
  <c r="A77" i="19"/>
  <c r="A82" i="19" s="1"/>
  <c r="A76" i="19"/>
  <c r="A81" i="19" s="1"/>
  <c r="B74" i="19"/>
  <c r="V39" i="19"/>
  <c r="U39" i="19"/>
  <c r="T39" i="19"/>
  <c r="R39" i="19"/>
  <c r="Q39" i="19"/>
  <c r="O39" i="19"/>
  <c r="N39" i="19"/>
  <c r="L39" i="19"/>
  <c r="K39" i="19"/>
  <c r="I39" i="19"/>
  <c r="H39" i="19"/>
  <c r="G39" i="19"/>
  <c r="F39" i="19"/>
  <c r="E39" i="19"/>
  <c r="D39" i="19"/>
  <c r="C39" i="19"/>
  <c r="B39" i="19"/>
  <c r="J37" i="19"/>
  <c r="I37" i="19"/>
  <c r="H37" i="19"/>
  <c r="G37" i="19"/>
  <c r="F37" i="19"/>
  <c r="E37" i="19"/>
  <c r="D37" i="19"/>
  <c r="C37" i="19"/>
  <c r="B37" i="19"/>
  <c r="X36" i="19"/>
  <c r="W36" i="19"/>
  <c r="V34" i="19"/>
  <c r="U34" i="19"/>
  <c r="T34" i="19"/>
  <c r="Q34" i="19"/>
  <c r="N34" i="19"/>
  <c r="K34" i="19"/>
  <c r="H34" i="19"/>
  <c r="G34" i="19"/>
  <c r="F34" i="19"/>
  <c r="E34" i="19"/>
  <c r="D34" i="19"/>
  <c r="C34" i="19"/>
  <c r="B34" i="19"/>
  <c r="V32" i="19"/>
  <c r="U32" i="19"/>
  <c r="T32" i="19"/>
  <c r="R32" i="19"/>
  <c r="Q32" i="19"/>
  <c r="O32" i="19"/>
  <c r="N32" i="19"/>
  <c r="L32" i="19"/>
  <c r="K32" i="19"/>
  <c r="I32" i="19"/>
  <c r="H32" i="19"/>
  <c r="U11" i="19"/>
  <c r="T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X8" i="19"/>
  <c r="W8" i="19"/>
  <c r="V6" i="19"/>
  <c r="U6" i="19"/>
  <c r="T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V4" i="19"/>
  <c r="U4" i="19"/>
  <c r="T4" i="19"/>
  <c r="R4" i="19"/>
  <c r="Q4" i="19"/>
  <c r="C2" i="19"/>
  <c r="C74" i="19" s="1"/>
  <c r="V32" i="18"/>
  <c r="U32" i="18"/>
  <c r="T32" i="18"/>
  <c r="R32" i="18"/>
  <c r="Q32" i="18"/>
  <c r="O32" i="18"/>
  <c r="N32" i="18"/>
  <c r="L32" i="18"/>
  <c r="K32" i="18"/>
  <c r="I32" i="18"/>
  <c r="H32" i="18"/>
  <c r="C105" i="18"/>
  <c r="D105" i="18" s="1"/>
  <c r="E105" i="18" s="1"/>
  <c r="F105" i="18" s="1"/>
  <c r="G105" i="18" s="1"/>
  <c r="H105" i="18" s="1"/>
  <c r="I105" i="18" s="1"/>
  <c r="J105" i="18" s="1"/>
  <c r="K105" i="18" s="1"/>
  <c r="L105" i="18" s="1"/>
  <c r="M105" i="18" s="1"/>
  <c r="N105" i="18" s="1"/>
  <c r="O105" i="18" s="1"/>
  <c r="P105" i="18" s="1"/>
  <c r="Q105" i="18" s="1"/>
  <c r="R105" i="18" s="1"/>
  <c r="S105" i="18" s="1"/>
  <c r="T105" i="18" s="1"/>
  <c r="U105" i="18" s="1"/>
  <c r="V105" i="18" s="1"/>
  <c r="W105" i="18" s="1"/>
  <c r="B103" i="18"/>
  <c r="A97" i="18"/>
  <c r="A88" i="18"/>
  <c r="A87" i="18"/>
  <c r="A86" i="18"/>
  <c r="A79" i="18"/>
  <c r="A84" i="18" s="1"/>
  <c r="A78" i="18"/>
  <c r="A83" i="18" s="1"/>
  <c r="A77" i="18"/>
  <c r="A82" i="18" s="1"/>
  <c r="A76" i="18"/>
  <c r="A81" i="18" s="1"/>
  <c r="B74" i="18"/>
  <c r="V39" i="18"/>
  <c r="U39" i="18"/>
  <c r="T39" i="18"/>
  <c r="R39" i="18"/>
  <c r="Q39" i="18"/>
  <c r="O39" i="18"/>
  <c r="N39" i="18"/>
  <c r="L39" i="18"/>
  <c r="K39" i="18"/>
  <c r="I39" i="18"/>
  <c r="H39" i="18"/>
  <c r="G39" i="18"/>
  <c r="F39" i="18"/>
  <c r="E39" i="18"/>
  <c r="D39" i="18"/>
  <c r="C39" i="18"/>
  <c r="B39" i="18"/>
  <c r="J37" i="18"/>
  <c r="I37" i="18"/>
  <c r="H37" i="18"/>
  <c r="G37" i="18"/>
  <c r="F37" i="18"/>
  <c r="E37" i="18"/>
  <c r="D37" i="18"/>
  <c r="C37" i="18"/>
  <c r="B37" i="18"/>
  <c r="X36" i="18"/>
  <c r="W36" i="18"/>
  <c r="V34" i="18"/>
  <c r="U34" i="18"/>
  <c r="T34" i="18"/>
  <c r="Q34" i="18"/>
  <c r="N34" i="18"/>
  <c r="K34" i="18"/>
  <c r="H34" i="18"/>
  <c r="G34" i="18"/>
  <c r="F34" i="18"/>
  <c r="E34" i="18"/>
  <c r="D34" i="18"/>
  <c r="C34" i="18"/>
  <c r="B34" i="18"/>
  <c r="U11" i="18"/>
  <c r="T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X8" i="18"/>
  <c r="W8" i="18"/>
  <c r="V6" i="18"/>
  <c r="U6" i="18"/>
  <c r="T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V4" i="18"/>
  <c r="U4" i="18"/>
  <c r="T4" i="18"/>
  <c r="R4" i="18"/>
  <c r="Q4" i="18"/>
  <c r="C2" i="18"/>
  <c r="C74" i="18" s="1"/>
  <c r="C105" i="17"/>
  <c r="D105" i="17" s="1"/>
  <c r="E105" i="17" s="1"/>
  <c r="F105" i="17" s="1"/>
  <c r="G105" i="17" s="1"/>
  <c r="H105" i="17" s="1"/>
  <c r="I105" i="17" s="1"/>
  <c r="J105" i="17" s="1"/>
  <c r="K105" i="17" s="1"/>
  <c r="L105" i="17" s="1"/>
  <c r="M105" i="17" s="1"/>
  <c r="N105" i="17" s="1"/>
  <c r="O105" i="17" s="1"/>
  <c r="P105" i="17" s="1"/>
  <c r="Q105" i="17" s="1"/>
  <c r="R105" i="17" s="1"/>
  <c r="S105" i="17" s="1"/>
  <c r="T105" i="17" s="1"/>
  <c r="U105" i="17" s="1"/>
  <c r="V105" i="17" s="1"/>
  <c r="W105" i="17" s="1"/>
  <c r="B103" i="17"/>
  <c r="A97" i="17"/>
  <c r="A88" i="17"/>
  <c r="A87" i="17"/>
  <c r="A86" i="17"/>
  <c r="A79" i="17"/>
  <c r="A84" i="17" s="1"/>
  <c r="A78" i="17"/>
  <c r="A83" i="17" s="1"/>
  <c r="A77" i="17"/>
  <c r="A82" i="17" s="1"/>
  <c r="A76" i="17"/>
  <c r="A81" i="17" s="1"/>
  <c r="B74" i="17"/>
  <c r="V39" i="17"/>
  <c r="U39" i="17"/>
  <c r="T39" i="17"/>
  <c r="R39" i="17"/>
  <c r="Q39" i="17"/>
  <c r="O39" i="17"/>
  <c r="N39" i="17"/>
  <c r="L39" i="17"/>
  <c r="K39" i="17"/>
  <c r="I39" i="17"/>
  <c r="H39" i="17"/>
  <c r="G39" i="17"/>
  <c r="F39" i="17"/>
  <c r="E39" i="17"/>
  <c r="D39" i="17"/>
  <c r="C39" i="17"/>
  <c r="B39" i="17"/>
  <c r="J37" i="17"/>
  <c r="I37" i="17"/>
  <c r="H37" i="17"/>
  <c r="G37" i="17"/>
  <c r="F37" i="17"/>
  <c r="E37" i="17"/>
  <c r="D37" i="17"/>
  <c r="C37" i="17"/>
  <c r="B37" i="17"/>
  <c r="X36" i="17"/>
  <c r="W36" i="17"/>
  <c r="V34" i="17"/>
  <c r="U34" i="17"/>
  <c r="T34" i="17"/>
  <c r="Q34" i="17"/>
  <c r="N34" i="17"/>
  <c r="K34" i="17"/>
  <c r="H34" i="17"/>
  <c r="G34" i="17"/>
  <c r="F34" i="17"/>
  <c r="E34" i="17"/>
  <c r="D34" i="17"/>
  <c r="C34" i="17"/>
  <c r="B34" i="17"/>
  <c r="V32" i="17"/>
  <c r="U32" i="17"/>
  <c r="T32" i="17"/>
  <c r="R32" i="17"/>
  <c r="Q32" i="17"/>
  <c r="O32" i="17"/>
  <c r="N32" i="17"/>
  <c r="L32" i="17"/>
  <c r="K32" i="17"/>
  <c r="I32" i="17"/>
  <c r="H32" i="17"/>
  <c r="U11" i="17"/>
  <c r="T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X8" i="17"/>
  <c r="W8" i="17"/>
  <c r="V6" i="17"/>
  <c r="U6" i="17"/>
  <c r="T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V4" i="17"/>
  <c r="U4" i="17"/>
  <c r="T4" i="17"/>
  <c r="R4" i="17"/>
  <c r="Q4" i="17"/>
  <c r="D2" i="17"/>
  <c r="D74" i="17" s="1"/>
  <c r="C2" i="17"/>
  <c r="C74" i="17" s="1"/>
  <c r="C105" i="13"/>
  <c r="D105" i="13" s="1"/>
  <c r="E105" i="13" s="1"/>
  <c r="F105" i="13" s="1"/>
  <c r="G105" i="13" s="1"/>
  <c r="H105" i="13" s="1"/>
  <c r="I105" i="13" s="1"/>
  <c r="J105" i="13" s="1"/>
  <c r="K105" i="13" s="1"/>
  <c r="L105" i="13" s="1"/>
  <c r="M105" i="13" s="1"/>
  <c r="N105" i="13" s="1"/>
  <c r="O105" i="13" s="1"/>
  <c r="P105" i="13" s="1"/>
  <c r="Q105" i="13" s="1"/>
  <c r="R105" i="13" s="1"/>
  <c r="S105" i="13" s="1"/>
  <c r="T105" i="13" s="1"/>
  <c r="U105" i="13" s="1"/>
  <c r="V105" i="13" s="1"/>
  <c r="W105" i="13" s="1"/>
  <c r="B103" i="13"/>
  <c r="A97" i="13"/>
  <c r="A88" i="13"/>
  <c r="A87" i="13"/>
  <c r="A86" i="13"/>
  <c r="A79" i="13"/>
  <c r="A84" i="13" s="1"/>
  <c r="A78" i="13"/>
  <c r="A83" i="13" s="1"/>
  <c r="A77" i="13"/>
  <c r="A82" i="13" s="1"/>
  <c r="A76" i="13"/>
  <c r="A81" i="13" s="1"/>
  <c r="B74" i="13"/>
  <c r="V39" i="13"/>
  <c r="U39" i="13"/>
  <c r="T39" i="13"/>
  <c r="R39" i="13"/>
  <c r="Q39" i="13"/>
  <c r="O39" i="13"/>
  <c r="N39" i="13"/>
  <c r="L39" i="13"/>
  <c r="K39" i="13"/>
  <c r="I39" i="13"/>
  <c r="H39" i="13"/>
  <c r="G39" i="13"/>
  <c r="F39" i="13"/>
  <c r="E39" i="13"/>
  <c r="D39" i="13"/>
  <c r="C39" i="13"/>
  <c r="B39" i="13"/>
  <c r="J37" i="13"/>
  <c r="I37" i="13"/>
  <c r="H37" i="13"/>
  <c r="G37" i="13"/>
  <c r="F37" i="13"/>
  <c r="E37" i="13"/>
  <c r="D37" i="13"/>
  <c r="C37" i="13"/>
  <c r="B37" i="13"/>
  <c r="X36" i="13"/>
  <c r="W36" i="13"/>
  <c r="V34" i="13"/>
  <c r="U34" i="13"/>
  <c r="T34" i="13"/>
  <c r="Q34" i="13"/>
  <c r="N34" i="13"/>
  <c r="K34" i="13"/>
  <c r="H34" i="13"/>
  <c r="G34" i="13"/>
  <c r="F34" i="13"/>
  <c r="E34" i="13"/>
  <c r="D34" i="13"/>
  <c r="C34" i="13"/>
  <c r="B34" i="13"/>
  <c r="V32" i="13"/>
  <c r="U32" i="13"/>
  <c r="T32" i="13"/>
  <c r="R32" i="13"/>
  <c r="Q32" i="13"/>
  <c r="O32" i="13"/>
  <c r="N32" i="13"/>
  <c r="L32" i="13"/>
  <c r="K32" i="13"/>
  <c r="I32" i="13"/>
  <c r="H32" i="13"/>
  <c r="U11" i="13"/>
  <c r="T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X8" i="13"/>
  <c r="W8" i="13"/>
  <c r="V6" i="13"/>
  <c r="U6" i="13"/>
  <c r="T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V4" i="13"/>
  <c r="U4" i="13"/>
  <c r="T4" i="13"/>
  <c r="R4" i="13"/>
  <c r="Q4" i="13"/>
  <c r="C2" i="13"/>
  <c r="C74" i="13" s="1"/>
  <c r="V47" i="3"/>
  <c r="U47" i="3"/>
  <c r="T47" i="3"/>
  <c r="Q47" i="3"/>
  <c r="N47" i="3"/>
  <c r="K47" i="3"/>
  <c r="H47" i="3"/>
  <c r="G47" i="3"/>
  <c r="F47" i="3"/>
  <c r="E47" i="3"/>
  <c r="D47" i="3"/>
  <c r="C47" i="3"/>
  <c r="B47" i="3"/>
  <c r="V48" i="3"/>
  <c r="U48" i="3"/>
  <c r="S48" i="3"/>
  <c r="R48" i="3"/>
  <c r="P48" i="3"/>
  <c r="O48" i="3"/>
  <c r="M48" i="3"/>
  <c r="L48" i="3"/>
  <c r="J48" i="3"/>
  <c r="I48" i="3"/>
  <c r="H48" i="3"/>
  <c r="G48" i="3"/>
  <c r="F48" i="3"/>
  <c r="E48" i="3"/>
  <c r="D48" i="3"/>
  <c r="W48" i="3"/>
  <c r="C48" i="3"/>
  <c r="C104" i="12"/>
  <c r="D104" i="12" s="1"/>
  <c r="E104" i="12" s="1"/>
  <c r="F104" i="12" s="1"/>
  <c r="G104" i="12" s="1"/>
  <c r="H104" i="12" s="1"/>
  <c r="I104" i="12" s="1"/>
  <c r="J104" i="12" s="1"/>
  <c r="K104" i="12" s="1"/>
  <c r="L104" i="12" s="1"/>
  <c r="M104" i="12" s="1"/>
  <c r="N104" i="12" s="1"/>
  <c r="O104" i="12" s="1"/>
  <c r="P104" i="12" s="1"/>
  <c r="Q104" i="12" s="1"/>
  <c r="R104" i="12" s="1"/>
  <c r="S104" i="12" s="1"/>
  <c r="T104" i="12" s="1"/>
  <c r="U104" i="12" s="1"/>
  <c r="V104" i="12" s="1"/>
  <c r="W104" i="12" s="1"/>
  <c r="C45" i="5"/>
  <c r="D45" i="5" s="1"/>
  <c r="E45" i="5" s="1"/>
  <c r="F45" i="5" s="1"/>
  <c r="G45" i="5" s="1"/>
  <c r="H45" i="5" s="1"/>
  <c r="I45" i="5" s="1"/>
  <c r="J45" i="5" s="1"/>
  <c r="K45" i="5" s="1"/>
  <c r="L45" i="5" s="1"/>
  <c r="M45" i="5" s="1"/>
  <c r="N45" i="5" s="1"/>
  <c r="O45" i="5" s="1"/>
  <c r="P45" i="5" s="1"/>
  <c r="Q45" i="5" s="1"/>
  <c r="R45" i="5" s="1"/>
  <c r="S45" i="5" s="1"/>
  <c r="T45" i="5" s="1"/>
  <c r="U45" i="5" s="1"/>
  <c r="V45" i="5" s="1"/>
  <c r="W45" i="5" s="1"/>
  <c r="C45" i="3"/>
  <c r="D45" i="3" s="1"/>
  <c r="E45" i="3" s="1"/>
  <c r="F45" i="3" s="1"/>
  <c r="G45" i="3" s="1"/>
  <c r="H45" i="3" s="1"/>
  <c r="I45" i="3" s="1"/>
  <c r="J45" i="3" s="1"/>
  <c r="K45" i="3" s="1"/>
  <c r="L45" i="3" s="1"/>
  <c r="M45" i="3" s="1"/>
  <c r="N45" i="3" s="1"/>
  <c r="O45" i="3" s="1"/>
  <c r="P45" i="3" s="1"/>
  <c r="Q45" i="3" s="1"/>
  <c r="R45" i="3" s="1"/>
  <c r="S45" i="3" s="1"/>
  <c r="T45" i="3" s="1"/>
  <c r="U45" i="3" s="1"/>
  <c r="V45" i="3" s="1"/>
  <c r="W45" i="3" s="1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K48" i="2"/>
  <c r="J48" i="2"/>
  <c r="I48" i="2"/>
  <c r="H48" i="2"/>
  <c r="G48" i="2"/>
  <c r="F48" i="2"/>
  <c r="E48" i="2"/>
  <c r="D48" i="2"/>
  <c r="C48" i="2"/>
  <c r="V47" i="2"/>
  <c r="U47" i="2"/>
  <c r="T47" i="2"/>
  <c r="R47" i="2"/>
  <c r="Q47" i="2"/>
  <c r="O47" i="2"/>
  <c r="N47" i="2"/>
  <c r="L47" i="2"/>
  <c r="K47" i="2"/>
  <c r="I47" i="2"/>
  <c r="I49" i="2" s="1"/>
  <c r="H47" i="2"/>
  <c r="H49" i="2" s="1"/>
  <c r="C45" i="2"/>
  <c r="D45" i="2" s="1"/>
  <c r="E45" i="2" s="1"/>
  <c r="F45" i="2" s="1"/>
  <c r="G45" i="2" s="1"/>
  <c r="H45" i="2" s="1"/>
  <c r="I45" i="2" s="1"/>
  <c r="J45" i="2" s="1"/>
  <c r="K45" i="2" s="1"/>
  <c r="L45" i="2" s="1"/>
  <c r="M45" i="2" s="1"/>
  <c r="N45" i="2" s="1"/>
  <c r="O45" i="2" s="1"/>
  <c r="P45" i="2" s="1"/>
  <c r="Q45" i="2" s="1"/>
  <c r="R45" i="2" s="1"/>
  <c r="S45" i="2" s="1"/>
  <c r="T45" i="2" s="1"/>
  <c r="U45" i="2" s="1"/>
  <c r="V45" i="2" s="1"/>
  <c r="W45" i="2" s="1"/>
  <c r="B1" i="11"/>
  <c r="B12" i="11" s="1"/>
  <c r="C15" i="10"/>
  <c r="G11" i="9"/>
  <c r="G2" i="9"/>
  <c r="D8" i="10"/>
  <c r="M30" i="3" s="1"/>
  <c r="M44" i="22" s="1"/>
  <c r="D4" i="10"/>
  <c r="S11" i="3" s="1"/>
  <c r="W9" i="2"/>
  <c r="I16" i="9"/>
  <c r="F25" i="24" s="1"/>
  <c r="F27" i="24" s="1"/>
  <c r="K20" i="9"/>
  <c r="N30" i="2" s="1"/>
  <c r="I19" i="9"/>
  <c r="I18" i="9"/>
  <c r="G26" i="24" s="1"/>
  <c r="G47" i="24" s="1"/>
  <c r="E8" i="9"/>
  <c r="I13" i="9" s="1"/>
  <c r="C23" i="24" s="1"/>
  <c r="C47" i="24" s="1"/>
  <c r="I32" i="24" l="1"/>
  <c r="I34" i="24" s="1"/>
  <c r="E49" i="3"/>
  <c r="U49" i="3"/>
  <c r="D49" i="3"/>
  <c r="Q13" i="24"/>
  <c r="Q15" i="24" s="1"/>
  <c r="H49" i="3"/>
  <c r="H32" i="24"/>
  <c r="J29" i="2"/>
  <c r="J34" i="22" s="1"/>
  <c r="J35" i="22" s="1"/>
  <c r="P29" i="2"/>
  <c r="P34" i="22" s="1"/>
  <c r="S29" i="2"/>
  <c r="S34" i="22" s="1"/>
  <c r="M29" i="2"/>
  <c r="M34" i="22" s="1"/>
  <c r="L29" i="24"/>
  <c r="L47" i="24" s="1"/>
  <c r="P29" i="24"/>
  <c r="P47" i="24" s="1"/>
  <c r="T29" i="24"/>
  <c r="T47" i="24" s="1"/>
  <c r="Q29" i="24"/>
  <c r="Q47" i="24" s="1"/>
  <c r="K29" i="24"/>
  <c r="K47" i="24" s="1"/>
  <c r="K49" i="24" s="1"/>
  <c r="O29" i="24"/>
  <c r="O47" i="24" s="1"/>
  <c r="S29" i="24"/>
  <c r="S47" i="24" s="1"/>
  <c r="M29" i="24"/>
  <c r="U29" i="24"/>
  <c r="U47" i="24" s="1"/>
  <c r="J29" i="24"/>
  <c r="J31" i="24" s="1"/>
  <c r="J32" i="24" s="1"/>
  <c r="J34" i="24" s="1"/>
  <c r="N29" i="24"/>
  <c r="N47" i="24" s="1"/>
  <c r="R29" i="24"/>
  <c r="R47" i="24" s="1"/>
  <c r="V29" i="24"/>
  <c r="V47" i="24" s="1"/>
  <c r="K30" i="24"/>
  <c r="S30" i="24"/>
  <c r="T48" i="24" s="1"/>
  <c r="S30" i="2"/>
  <c r="S33" i="22" s="1"/>
  <c r="O30" i="24"/>
  <c r="P48" i="24" s="1"/>
  <c r="O30" i="2"/>
  <c r="O33" i="22" s="1"/>
  <c r="O37" i="22" s="1"/>
  <c r="K30" i="2"/>
  <c r="K33" i="22" s="1"/>
  <c r="N30" i="24"/>
  <c r="R30" i="24"/>
  <c r="S48" i="24" s="1"/>
  <c r="V30" i="24"/>
  <c r="W48" i="24" s="1"/>
  <c r="T30" i="2"/>
  <c r="T33" i="22" s="1"/>
  <c r="T35" i="22" s="1"/>
  <c r="P30" i="2"/>
  <c r="P33" i="22" s="1"/>
  <c r="P37" i="22" s="1"/>
  <c r="L30" i="2"/>
  <c r="M30" i="24"/>
  <c r="N48" i="24" s="1"/>
  <c r="Q30" i="24"/>
  <c r="R48" i="24" s="1"/>
  <c r="R49" i="24" s="1"/>
  <c r="U30" i="24"/>
  <c r="U30" i="2"/>
  <c r="U33" i="22" s="1"/>
  <c r="U35" i="22" s="1"/>
  <c r="Q30" i="2"/>
  <c r="Q33" i="22" s="1"/>
  <c r="Q35" i="22" s="1"/>
  <c r="M30" i="2"/>
  <c r="M33" i="22" s="1"/>
  <c r="L30" i="24"/>
  <c r="P30" i="24"/>
  <c r="Q48" i="24" s="1"/>
  <c r="Q49" i="24" s="1"/>
  <c r="T30" i="24"/>
  <c r="U48" i="24" s="1"/>
  <c r="V30" i="2"/>
  <c r="V33" i="22" s="1"/>
  <c r="V35" i="22" s="1"/>
  <c r="R30" i="2"/>
  <c r="R33" i="22" s="1"/>
  <c r="N50" i="19"/>
  <c r="N33" i="22"/>
  <c r="N37" i="22" s="1"/>
  <c r="I49" i="24"/>
  <c r="H49" i="24"/>
  <c r="L33" i="22"/>
  <c r="L37" i="22" s="1"/>
  <c r="M48" i="22"/>
  <c r="S40" i="22"/>
  <c r="W25" i="24"/>
  <c r="C49" i="24"/>
  <c r="U50" i="20"/>
  <c r="H34" i="24"/>
  <c r="G49" i="24"/>
  <c r="P49" i="24"/>
  <c r="F32" i="24"/>
  <c r="R15" i="24"/>
  <c r="S49" i="24"/>
  <c r="W23" i="24"/>
  <c r="W26" i="24"/>
  <c r="F47" i="24"/>
  <c r="F49" i="24" s="1"/>
  <c r="M47" i="24"/>
  <c r="C27" i="24"/>
  <c r="C32" i="24" s="1"/>
  <c r="G27" i="24"/>
  <c r="G32" i="24" s="1"/>
  <c r="C15" i="21"/>
  <c r="K15" i="21"/>
  <c r="F49" i="3"/>
  <c r="F15" i="21"/>
  <c r="N15" i="21"/>
  <c r="V43" i="21"/>
  <c r="E15" i="20"/>
  <c r="M15" i="20"/>
  <c r="B13" i="11"/>
  <c r="T15" i="5" s="1"/>
  <c r="C49" i="3"/>
  <c r="G49" i="3"/>
  <c r="V50" i="19"/>
  <c r="D2" i="21"/>
  <c r="D74" i="21" s="1"/>
  <c r="V49" i="3"/>
  <c r="I48" i="13"/>
  <c r="U43" i="19"/>
  <c r="U43" i="13"/>
  <c r="E15" i="17"/>
  <c r="M15" i="17"/>
  <c r="B15" i="21"/>
  <c r="J15" i="21"/>
  <c r="U43" i="21"/>
  <c r="U15" i="20"/>
  <c r="C50" i="13"/>
  <c r="Q13" i="19"/>
  <c r="F50" i="19"/>
  <c r="B50" i="13"/>
  <c r="B55" i="13" s="1"/>
  <c r="K50" i="13"/>
  <c r="E43" i="19"/>
  <c r="Q13" i="21"/>
  <c r="G15" i="21"/>
  <c r="O15" i="21"/>
  <c r="F43" i="21"/>
  <c r="I15" i="20"/>
  <c r="Q15" i="20"/>
  <c r="I15" i="17"/>
  <c r="Q15" i="17"/>
  <c r="E43" i="21"/>
  <c r="G50" i="13"/>
  <c r="F15" i="18"/>
  <c r="N43" i="21"/>
  <c r="E43" i="13"/>
  <c r="B50" i="21"/>
  <c r="B55" i="21" s="1"/>
  <c r="M39" i="21"/>
  <c r="M39" i="19"/>
  <c r="M39" i="20"/>
  <c r="B3" i="11"/>
  <c r="B5" i="11" s="1"/>
  <c r="B11" i="11" s="1"/>
  <c r="D11" i="11" s="1"/>
  <c r="D50" i="13"/>
  <c r="H50" i="13"/>
  <c r="N50" i="13"/>
  <c r="T50" i="13"/>
  <c r="T15" i="18"/>
  <c r="B15" i="19"/>
  <c r="F15" i="19"/>
  <c r="J15" i="19"/>
  <c r="N15" i="19"/>
  <c r="Q50" i="13"/>
  <c r="H48" i="13"/>
  <c r="U15" i="17"/>
  <c r="F50" i="13"/>
  <c r="V50" i="13"/>
  <c r="S11" i="13"/>
  <c r="S11" i="20"/>
  <c r="Q13" i="17"/>
  <c r="C15" i="17"/>
  <c r="G15" i="17"/>
  <c r="K15" i="17"/>
  <c r="O15" i="17"/>
  <c r="S11" i="17"/>
  <c r="R13" i="18"/>
  <c r="D15" i="18"/>
  <c r="H15" i="18"/>
  <c r="L15" i="18"/>
  <c r="P15" i="18"/>
  <c r="C15" i="19"/>
  <c r="G15" i="19"/>
  <c r="K15" i="19"/>
  <c r="O15" i="19"/>
  <c r="S11" i="19"/>
  <c r="S11" i="21"/>
  <c r="J15" i="18"/>
  <c r="N15" i="18"/>
  <c r="E43" i="18"/>
  <c r="R13" i="19"/>
  <c r="D15" i="19"/>
  <c r="H15" i="19"/>
  <c r="L15" i="19"/>
  <c r="P15" i="19"/>
  <c r="T15" i="19"/>
  <c r="D43" i="19"/>
  <c r="H43" i="19"/>
  <c r="T43" i="19"/>
  <c r="E15" i="21"/>
  <c r="I15" i="21"/>
  <c r="M15" i="21"/>
  <c r="Q15" i="21"/>
  <c r="U15" i="21"/>
  <c r="D43" i="21"/>
  <c r="T43" i="21"/>
  <c r="Q13" i="20"/>
  <c r="C15" i="20"/>
  <c r="G15" i="20"/>
  <c r="K15" i="20"/>
  <c r="O15" i="20"/>
  <c r="E50" i="20"/>
  <c r="Q50" i="20"/>
  <c r="R13" i="21"/>
  <c r="K50" i="21"/>
  <c r="F15" i="20"/>
  <c r="J15" i="20"/>
  <c r="N15" i="20"/>
  <c r="K43" i="20"/>
  <c r="R13" i="20"/>
  <c r="D15" i="20"/>
  <c r="H15" i="20"/>
  <c r="L15" i="20"/>
  <c r="P15" i="20"/>
  <c r="T15" i="20"/>
  <c r="G43" i="20"/>
  <c r="B43" i="20"/>
  <c r="B50" i="20"/>
  <c r="F43" i="20"/>
  <c r="F50" i="20"/>
  <c r="N43" i="20"/>
  <c r="N50" i="20"/>
  <c r="V43" i="20"/>
  <c r="V50" i="20"/>
  <c r="B15" i="20"/>
  <c r="H41" i="20"/>
  <c r="Q43" i="20"/>
  <c r="I41" i="20"/>
  <c r="E43" i="20"/>
  <c r="U43" i="20"/>
  <c r="D50" i="20"/>
  <c r="H50" i="20"/>
  <c r="T50" i="20"/>
  <c r="D43" i="20"/>
  <c r="T43" i="20"/>
  <c r="H48" i="20"/>
  <c r="D2" i="20"/>
  <c r="I48" i="20"/>
  <c r="C50" i="20"/>
  <c r="G50" i="20"/>
  <c r="K50" i="20"/>
  <c r="C43" i="20"/>
  <c r="H43" i="20"/>
  <c r="H41" i="21"/>
  <c r="I48" i="21"/>
  <c r="F50" i="21"/>
  <c r="N50" i="21"/>
  <c r="V50" i="21"/>
  <c r="E50" i="21"/>
  <c r="Q50" i="21"/>
  <c r="U50" i="21"/>
  <c r="H48" i="21"/>
  <c r="C50" i="21"/>
  <c r="D15" i="21"/>
  <c r="H15" i="21"/>
  <c r="L15" i="21"/>
  <c r="P15" i="21"/>
  <c r="T15" i="21"/>
  <c r="D50" i="21"/>
  <c r="H50" i="21"/>
  <c r="T50" i="21"/>
  <c r="B43" i="21"/>
  <c r="H43" i="21"/>
  <c r="I41" i="21"/>
  <c r="C43" i="21"/>
  <c r="G43" i="21"/>
  <c r="K43" i="21"/>
  <c r="Q43" i="21"/>
  <c r="G50" i="21"/>
  <c r="D2" i="19"/>
  <c r="I41" i="19"/>
  <c r="C43" i="19"/>
  <c r="G43" i="19"/>
  <c r="K43" i="19"/>
  <c r="H41" i="19"/>
  <c r="B43" i="19"/>
  <c r="F43" i="19"/>
  <c r="N43" i="19"/>
  <c r="V43" i="19"/>
  <c r="I48" i="19"/>
  <c r="C50" i="19"/>
  <c r="K50" i="19"/>
  <c r="E15" i="19"/>
  <c r="I15" i="19"/>
  <c r="M15" i="19"/>
  <c r="Q15" i="19"/>
  <c r="U15" i="19"/>
  <c r="E50" i="19"/>
  <c r="Q50" i="19"/>
  <c r="U50" i="19"/>
  <c r="H48" i="19"/>
  <c r="B50" i="19"/>
  <c r="D50" i="19"/>
  <c r="H50" i="19"/>
  <c r="T50" i="19"/>
  <c r="Q43" i="19"/>
  <c r="G50" i="19"/>
  <c r="E50" i="13"/>
  <c r="U50" i="13"/>
  <c r="M39" i="18"/>
  <c r="M39" i="17"/>
  <c r="B15" i="17"/>
  <c r="F15" i="17"/>
  <c r="J15" i="17"/>
  <c r="N15" i="17"/>
  <c r="C50" i="17"/>
  <c r="C15" i="18"/>
  <c r="G15" i="18"/>
  <c r="K15" i="18"/>
  <c r="O15" i="18"/>
  <c r="S11" i="18"/>
  <c r="E43" i="17"/>
  <c r="U43" i="17"/>
  <c r="E15" i="18"/>
  <c r="I15" i="18"/>
  <c r="M15" i="18"/>
  <c r="Q15" i="18"/>
  <c r="U15" i="18"/>
  <c r="U43" i="18"/>
  <c r="I48" i="18"/>
  <c r="I41" i="18"/>
  <c r="C50" i="18"/>
  <c r="C43" i="18"/>
  <c r="G50" i="18"/>
  <c r="G43" i="18"/>
  <c r="K50" i="18"/>
  <c r="K43" i="18"/>
  <c r="D2" i="18"/>
  <c r="Q13" i="18"/>
  <c r="B15" i="18"/>
  <c r="H48" i="18"/>
  <c r="B50" i="18"/>
  <c r="F50" i="18"/>
  <c r="N50" i="18"/>
  <c r="V50" i="18"/>
  <c r="H41" i="18"/>
  <c r="B43" i="18"/>
  <c r="E50" i="18"/>
  <c r="Q50" i="18"/>
  <c r="U50" i="18"/>
  <c r="Q43" i="18"/>
  <c r="D50" i="18"/>
  <c r="D43" i="18"/>
  <c r="H50" i="18"/>
  <c r="H43" i="18"/>
  <c r="T50" i="18"/>
  <c r="T43" i="18"/>
  <c r="F43" i="18"/>
  <c r="N43" i="18"/>
  <c r="V43" i="18"/>
  <c r="D50" i="17"/>
  <c r="D43" i="17"/>
  <c r="H50" i="17"/>
  <c r="H43" i="17"/>
  <c r="T50" i="17"/>
  <c r="T43" i="17"/>
  <c r="E2" i="17"/>
  <c r="R13" i="17"/>
  <c r="D15" i="17"/>
  <c r="H15" i="17"/>
  <c r="L15" i="17"/>
  <c r="P15" i="17"/>
  <c r="T15" i="17"/>
  <c r="I41" i="17"/>
  <c r="C43" i="17"/>
  <c r="G43" i="17"/>
  <c r="K43" i="17"/>
  <c r="B43" i="17"/>
  <c r="B50" i="17"/>
  <c r="F43" i="17"/>
  <c r="F50" i="17"/>
  <c r="N43" i="17"/>
  <c r="N50" i="17"/>
  <c r="V43" i="17"/>
  <c r="V50" i="17"/>
  <c r="H48" i="17"/>
  <c r="H41" i="17"/>
  <c r="I48" i="17"/>
  <c r="K50" i="17"/>
  <c r="E50" i="17"/>
  <c r="Q50" i="17"/>
  <c r="U50" i="17"/>
  <c r="Q43" i="17"/>
  <c r="G50" i="17"/>
  <c r="B15" i="13"/>
  <c r="F15" i="13"/>
  <c r="J15" i="13"/>
  <c r="N15" i="13"/>
  <c r="D43" i="13"/>
  <c r="T43" i="13"/>
  <c r="V48" i="2"/>
  <c r="V49" i="2" s="1"/>
  <c r="N48" i="3"/>
  <c r="N49" i="3" s="1"/>
  <c r="K49" i="2"/>
  <c r="E15" i="13"/>
  <c r="I15" i="13"/>
  <c r="M15" i="13"/>
  <c r="Q15" i="13"/>
  <c r="U15" i="13"/>
  <c r="M39" i="13"/>
  <c r="D15" i="13"/>
  <c r="H15" i="13"/>
  <c r="L15" i="13"/>
  <c r="P15" i="13"/>
  <c r="T15" i="13"/>
  <c r="Q43" i="13"/>
  <c r="Q13" i="13"/>
  <c r="C15" i="13"/>
  <c r="G15" i="13"/>
  <c r="K15" i="13"/>
  <c r="O15" i="13"/>
  <c r="H43" i="13"/>
  <c r="R13" i="13"/>
  <c r="I41" i="13"/>
  <c r="C43" i="13"/>
  <c r="G43" i="13"/>
  <c r="K43" i="13"/>
  <c r="H41" i="13"/>
  <c r="B43" i="13"/>
  <c r="D2" i="13"/>
  <c r="F43" i="13"/>
  <c r="N43" i="13"/>
  <c r="V43" i="13"/>
  <c r="X48" i="5"/>
  <c r="B49" i="3"/>
  <c r="C4" i="10"/>
  <c r="S10" i="3" s="1"/>
  <c r="C8" i="10"/>
  <c r="P29" i="3" s="1"/>
  <c r="C3" i="10"/>
  <c r="R10" i="3" s="1"/>
  <c r="C7" i="10"/>
  <c r="R29" i="3" s="1"/>
  <c r="J30" i="3"/>
  <c r="S30" i="3"/>
  <c r="S44" i="22" s="1"/>
  <c r="P30" i="3"/>
  <c r="P44" i="22" s="1"/>
  <c r="U37" i="19" l="1"/>
  <c r="U41" i="19" s="1"/>
  <c r="U37" i="17"/>
  <c r="U41" i="17" s="1"/>
  <c r="J47" i="24"/>
  <c r="J49" i="24" s="1"/>
  <c r="U37" i="18"/>
  <c r="U41" i="18" s="1"/>
  <c r="N49" i="24"/>
  <c r="U37" i="13"/>
  <c r="U48" i="13" s="1"/>
  <c r="U37" i="21"/>
  <c r="U48" i="21" s="1"/>
  <c r="E2" i="21"/>
  <c r="P31" i="24"/>
  <c r="P32" i="24" s="1"/>
  <c r="U37" i="20"/>
  <c r="U41" i="20" s="1"/>
  <c r="T49" i="24"/>
  <c r="W29" i="24"/>
  <c r="U49" i="24"/>
  <c r="K31" i="24"/>
  <c r="K32" i="24" s="1"/>
  <c r="O31" i="24"/>
  <c r="O32" i="24" s="1"/>
  <c r="O34" i="24" s="1"/>
  <c r="U31" i="24"/>
  <c r="U32" i="24" s="1"/>
  <c r="U34" i="24" s="1"/>
  <c r="S35" i="22"/>
  <c r="B7" i="11"/>
  <c r="H9" i="11" s="1"/>
  <c r="V31" i="24"/>
  <c r="V32" i="24" s="1"/>
  <c r="V34" i="24" s="1"/>
  <c r="T31" i="24"/>
  <c r="T32" i="24" s="1"/>
  <c r="T34" i="24" s="1"/>
  <c r="L48" i="24"/>
  <c r="L49" i="24" s="1"/>
  <c r="M31" i="24"/>
  <c r="M32" i="24" s="1"/>
  <c r="R31" i="24"/>
  <c r="R32" i="24" s="1"/>
  <c r="R34" i="24" s="1"/>
  <c r="Q31" i="24"/>
  <c r="Q32" i="24" s="1"/>
  <c r="Q34" i="24" s="1"/>
  <c r="S31" i="24"/>
  <c r="S32" i="24" s="1"/>
  <c r="S34" i="24" s="1"/>
  <c r="K35" i="22"/>
  <c r="K37" i="22"/>
  <c r="W30" i="24"/>
  <c r="V15" i="5"/>
  <c r="Q15" i="5"/>
  <c r="K15" i="5"/>
  <c r="V48" i="24"/>
  <c r="V49" i="24" s="1"/>
  <c r="N35" i="22"/>
  <c r="R35" i="22"/>
  <c r="R37" i="22"/>
  <c r="M48" i="24"/>
  <c r="M49" i="24" s="1"/>
  <c r="Q37" i="22"/>
  <c r="P35" i="22"/>
  <c r="L31" i="24"/>
  <c r="L32" i="24" s="1"/>
  <c r="F3" i="11"/>
  <c r="O35" i="22"/>
  <c r="W33" i="22"/>
  <c r="L35" i="22"/>
  <c r="M37" i="22"/>
  <c r="M35" i="22"/>
  <c r="R45" i="22"/>
  <c r="R46" i="22" s="1"/>
  <c r="L15" i="5"/>
  <c r="P15" i="5"/>
  <c r="S37" i="22"/>
  <c r="P45" i="22"/>
  <c r="P49" i="22" s="1"/>
  <c r="J44" i="22"/>
  <c r="J48" i="22" s="1"/>
  <c r="O15" i="5"/>
  <c r="M15" i="5"/>
  <c r="U4" i="5"/>
  <c r="X33" i="22"/>
  <c r="R41" i="22"/>
  <c r="S48" i="22"/>
  <c r="U48" i="19"/>
  <c r="S41" i="22"/>
  <c r="S42" i="22" s="1"/>
  <c r="P48" i="22"/>
  <c r="S12" i="3"/>
  <c r="G34" i="24"/>
  <c r="K34" i="24"/>
  <c r="F34" i="24"/>
  <c r="C34" i="24"/>
  <c r="U15" i="5"/>
  <c r="N15" i="5"/>
  <c r="S15" i="5"/>
  <c r="B14" i="11"/>
  <c r="F4" i="11" s="1"/>
  <c r="T4" i="5"/>
  <c r="R15" i="5"/>
  <c r="V4" i="5"/>
  <c r="U48" i="18"/>
  <c r="R34" i="20"/>
  <c r="R34" i="21"/>
  <c r="R34" i="19"/>
  <c r="L37" i="20"/>
  <c r="L37" i="21"/>
  <c r="L37" i="19"/>
  <c r="M37" i="20"/>
  <c r="M37" i="21"/>
  <c r="M37" i="19"/>
  <c r="P37" i="20"/>
  <c r="P37" i="21"/>
  <c r="P37" i="19"/>
  <c r="K37" i="20"/>
  <c r="K37" i="21"/>
  <c r="K37" i="19"/>
  <c r="P39" i="20"/>
  <c r="P39" i="21"/>
  <c r="P39" i="19"/>
  <c r="R6" i="20"/>
  <c r="R6" i="21"/>
  <c r="R6" i="19"/>
  <c r="U41" i="13"/>
  <c r="O37" i="20"/>
  <c r="O37" i="21"/>
  <c r="O37" i="19"/>
  <c r="S37" i="20"/>
  <c r="S37" i="21"/>
  <c r="S37" i="19"/>
  <c r="N37" i="20"/>
  <c r="N37" i="21"/>
  <c r="N37" i="19"/>
  <c r="R37" i="20"/>
  <c r="R37" i="21"/>
  <c r="R37" i="19"/>
  <c r="J39" i="20"/>
  <c r="J39" i="21"/>
  <c r="J39" i="19"/>
  <c r="S6" i="21"/>
  <c r="S15" i="21" s="1"/>
  <c r="S6" i="20"/>
  <c r="S15" i="20" s="1"/>
  <c r="S6" i="19"/>
  <c r="S15" i="19" s="1"/>
  <c r="V37" i="20"/>
  <c r="V37" i="21"/>
  <c r="V37" i="19"/>
  <c r="Q37" i="20"/>
  <c r="Q37" i="21"/>
  <c r="Q37" i="19"/>
  <c r="T37" i="20"/>
  <c r="T37" i="21"/>
  <c r="T37" i="19"/>
  <c r="S39" i="20"/>
  <c r="S39" i="21"/>
  <c r="S39" i="19"/>
  <c r="P34" i="20"/>
  <c r="P34" i="21"/>
  <c r="P34" i="19"/>
  <c r="F8" i="11"/>
  <c r="B17" i="11"/>
  <c r="D74" i="20"/>
  <c r="E2" i="20"/>
  <c r="B55" i="20"/>
  <c r="E74" i="21"/>
  <c r="F2" i="21"/>
  <c r="C55" i="21"/>
  <c r="B61" i="21" s="1"/>
  <c r="D74" i="19"/>
  <c r="E2" i="19"/>
  <c r="B55" i="19"/>
  <c r="Q37" i="18"/>
  <c r="Q37" i="17"/>
  <c r="P34" i="18"/>
  <c r="P34" i="17"/>
  <c r="M37" i="18"/>
  <c r="M37" i="17"/>
  <c r="P37" i="18"/>
  <c r="P37" i="17"/>
  <c r="K37" i="17"/>
  <c r="K37" i="18"/>
  <c r="P39" i="18"/>
  <c r="P39" i="17"/>
  <c r="O37" i="17"/>
  <c r="O37" i="18"/>
  <c r="S37" i="17"/>
  <c r="S37" i="18"/>
  <c r="R34" i="17"/>
  <c r="R34" i="18"/>
  <c r="V37" i="17"/>
  <c r="V37" i="18"/>
  <c r="T37" i="18"/>
  <c r="T37" i="17"/>
  <c r="S39" i="18"/>
  <c r="S39" i="17"/>
  <c r="R6" i="18"/>
  <c r="R6" i="17"/>
  <c r="N37" i="17"/>
  <c r="N37" i="18"/>
  <c r="R37" i="18"/>
  <c r="R37" i="17"/>
  <c r="L37" i="18"/>
  <c r="L37" i="17"/>
  <c r="J39" i="18"/>
  <c r="J39" i="17"/>
  <c r="S6" i="18"/>
  <c r="S15" i="18" s="1"/>
  <c r="S6" i="17"/>
  <c r="S15" i="17" s="1"/>
  <c r="U48" i="17"/>
  <c r="D74" i="18"/>
  <c r="E2" i="18"/>
  <c r="B55" i="18"/>
  <c r="B55" i="17"/>
  <c r="E74" i="17"/>
  <c r="F2" i="17"/>
  <c r="N48" i="2"/>
  <c r="N49" i="2" s="1"/>
  <c r="M37" i="13"/>
  <c r="Q48" i="2"/>
  <c r="Q49" i="2" s="1"/>
  <c r="P37" i="13"/>
  <c r="L48" i="2"/>
  <c r="L49" i="2" s="1"/>
  <c r="K37" i="13"/>
  <c r="K48" i="13" s="1"/>
  <c r="Q48" i="3"/>
  <c r="Q49" i="3" s="1"/>
  <c r="P39" i="13"/>
  <c r="P48" i="2"/>
  <c r="O37" i="13"/>
  <c r="O48" i="13" s="1"/>
  <c r="R47" i="3"/>
  <c r="R49" i="3" s="1"/>
  <c r="R34" i="13"/>
  <c r="O48" i="2"/>
  <c r="O49" i="2" s="1"/>
  <c r="N37" i="13"/>
  <c r="N48" i="13" s="1"/>
  <c r="S48" i="2"/>
  <c r="R37" i="13"/>
  <c r="R48" i="13" s="1"/>
  <c r="M48" i="2"/>
  <c r="L37" i="13"/>
  <c r="L48" i="13" s="1"/>
  <c r="K48" i="3"/>
  <c r="K49" i="3" s="1"/>
  <c r="J39" i="13"/>
  <c r="S6" i="13"/>
  <c r="S15" i="13" s="1"/>
  <c r="R6" i="13"/>
  <c r="T48" i="2"/>
  <c r="T49" i="2" s="1"/>
  <c r="S37" i="13"/>
  <c r="W48" i="2"/>
  <c r="V37" i="13"/>
  <c r="V48" i="13" s="1"/>
  <c r="R48" i="2"/>
  <c r="R49" i="2" s="1"/>
  <c r="Q37" i="13"/>
  <c r="Q48" i="13" s="1"/>
  <c r="U48" i="2"/>
  <c r="U49" i="2" s="1"/>
  <c r="T37" i="13"/>
  <c r="T48" i="13" s="1"/>
  <c r="T48" i="3"/>
  <c r="T49" i="3" s="1"/>
  <c r="S39" i="13"/>
  <c r="P47" i="3"/>
  <c r="P49" i="3" s="1"/>
  <c r="P34" i="13"/>
  <c r="D74" i="13"/>
  <c r="E2" i="13"/>
  <c r="W10" i="3"/>
  <c r="L29" i="3"/>
  <c r="O29" i="3"/>
  <c r="I29" i="3"/>
  <c r="B50" i="3"/>
  <c r="M29" i="3"/>
  <c r="S29" i="3"/>
  <c r="J29" i="3"/>
  <c r="H3" i="11"/>
  <c r="I12" i="9"/>
  <c r="B22" i="24" s="1"/>
  <c r="E17" i="9"/>
  <c r="I17" i="9" s="1"/>
  <c r="E12" i="9"/>
  <c r="K7" i="9"/>
  <c r="I5" i="9"/>
  <c r="P7" i="24" s="1"/>
  <c r="B11" i="9"/>
  <c r="I4" i="9" s="1"/>
  <c r="B6" i="9"/>
  <c r="I3" i="9" s="1"/>
  <c r="U38" i="12"/>
  <c r="U31" i="12"/>
  <c r="U10" i="12"/>
  <c r="U3" i="12"/>
  <c r="U41" i="21" l="1"/>
  <c r="B27" i="24"/>
  <c r="B47" i="24"/>
  <c r="W22" i="24"/>
  <c r="P34" i="24"/>
  <c r="K5" i="24"/>
  <c r="K8" i="24" s="1"/>
  <c r="K13" i="24" s="1"/>
  <c r="C5" i="24"/>
  <c r="C8" i="24" s="1"/>
  <c r="C13" i="24" s="1"/>
  <c r="J5" i="24"/>
  <c r="J8" i="24" s="1"/>
  <c r="J13" i="24" s="1"/>
  <c r="B5" i="24"/>
  <c r="I5" i="24"/>
  <c r="I8" i="24" s="1"/>
  <c r="I13" i="24" s="1"/>
  <c r="H5" i="24"/>
  <c r="H8" i="24" s="1"/>
  <c r="H13" i="24" s="1"/>
  <c r="G5" i="24"/>
  <c r="G8" i="24" s="1"/>
  <c r="G13" i="24" s="1"/>
  <c r="F5" i="24"/>
  <c r="F8" i="24" s="1"/>
  <c r="F13" i="24" s="1"/>
  <c r="M5" i="24"/>
  <c r="M8" i="24" s="1"/>
  <c r="M13" i="24" s="1"/>
  <c r="M15" i="24" s="1"/>
  <c r="E5" i="24"/>
  <c r="E8" i="24" s="1"/>
  <c r="E13" i="24" s="1"/>
  <c r="E15" i="24" s="1"/>
  <c r="L5" i="24"/>
  <c r="L8" i="24" s="1"/>
  <c r="L13" i="24" s="1"/>
  <c r="L15" i="24" s="1"/>
  <c r="D5" i="24"/>
  <c r="D8" i="24" s="1"/>
  <c r="D13" i="24" s="1"/>
  <c r="D15" i="24" s="1"/>
  <c r="N6" i="2"/>
  <c r="O6" i="24"/>
  <c r="O8" i="24" s="1"/>
  <c r="O13" i="24" s="1"/>
  <c r="O15" i="24" s="1"/>
  <c r="N6" i="24"/>
  <c r="U48" i="20"/>
  <c r="P8" i="24"/>
  <c r="P13" i="24" s="1"/>
  <c r="P15" i="24" s="1"/>
  <c r="W7" i="24"/>
  <c r="S10" i="2"/>
  <c r="S30" i="22" s="1"/>
  <c r="S38" i="22" s="1"/>
  <c r="S10" i="24"/>
  <c r="H4" i="11"/>
  <c r="X44" i="22"/>
  <c r="H8" i="11"/>
  <c r="M34" i="24"/>
  <c r="R38" i="24"/>
  <c r="R39" i="24" s="1"/>
  <c r="Q38" i="24"/>
  <c r="Q39" i="24" s="1"/>
  <c r="U11" i="24"/>
  <c r="U12" i="24" s="1"/>
  <c r="U13" i="24" s="1"/>
  <c r="V11" i="24"/>
  <c r="V12" i="24" s="1"/>
  <c r="V13" i="24" s="1"/>
  <c r="T11" i="24"/>
  <c r="L34" i="24"/>
  <c r="L38" i="24"/>
  <c r="L39" i="24" s="1"/>
  <c r="P46" i="22"/>
  <c r="W44" i="22"/>
  <c r="O45" i="22"/>
  <c r="O49" i="22" s="1"/>
  <c r="J45" i="22"/>
  <c r="I45" i="22"/>
  <c r="F9" i="11"/>
  <c r="M16" i="5" s="1"/>
  <c r="R49" i="22"/>
  <c r="S45" i="22"/>
  <c r="S46" i="22" s="1"/>
  <c r="M45" i="22"/>
  <c r="M46" i="22" s="1"/>
  <c r="L45" i="22"/>
  <c r="L46" i="22" s="1"/>
  <c r="R42" i="22"/>
  <c r="X41" i="22"/>
  <c r="W41" i="22"/>
  <c r="N30" i="22"/>
  <c r="B16" i="11"/>
  <c r="D14" i="11"/>
  <c r="X48" i="2"/>
  <c r="L34" i="20"/>
  <c r="L34" i="21"/>
  <c r="L34" i="19"/>
  <c r="Q48" i="19"/>
  <c r="Q41" i="19"/>
  <c r="V48" i="21"/>
  <c r="V41" i="21"/>
  <c r="R41" i="20"/>
  <c r="R48" i="20"/>
  <c r="O48" i="20"/>
  <c r="O41" i="20"/>
  <c r="P43" i="20"/>
  <c r="P50" i="20"/>
  <c r="K41" i="21"/>
  <c r="K48" i="21"/>
  <c r="X37" i="21"/>
  <c r="W37" i="21"/>
  <c r="L48" i="19"/>
  <c r="L41" i="19"/>
  <c r="R43" i="21"/>
  <c r="R50" i="21"/>
  <c r="S34" i="20"/>
  <c r="S43" i="20" s="1"/>
  <c r="S34" i="21"/>
  <c r="S43" i="21" s="1"/>
  <c r="S34" i="19"/>
  <c r="S43" i="19" s="1"/>
  <c r="J34" i="20"/>
  <c r="J50" i="20" s="1"/>
  <c r="J34" i="21"/>
  <c r="J43" i="21" s="1"/>
  <c r="J34" i="19"/>
  <c r="J50" i="19" s="1"/>
  <c r="N4" i="20"/>
  <c r="N4" i="19"/>
  <c r="N4" i="21"/>
  <c r="O34" i="20"/>
  <c r="O34" i="21"/>
  <c r="O34" i="19"/>
  <c r="S50" i="20"/>
  <c r="T41" i="20"/>
  <c r="T48" i="20"/>
  <c r="V48" i="19"/>
  <c r="V41" i="19"/>
  <c r="W39" i="20"/>
  <c r="X39" i="20"/>
  <c r="R41" i="21"/>
  <c r="R48" i="21"/>
  <c r="N41" i="20"/>
  <c r="N48" i="20"/>
  <c r="O41" i="21"/>
  <c r="O48" i="21"/>
  <c r="X6" i="20"/>
  <c r="R15" i="20"/>
  <c r="W6" i="20"/>
  <c r="P43" i="21"/>
  <c r="P50" i="21"/>
  <c r="K41" i="19"/>
  <c r="X37" i="19"/>
  <c r="K48" i="19"/>
  <c r="W37" i="19"/>
  <c r="R43" i="19"/>
  <c r="R50" i="19"/>
  <c r="M34" i="20"/>
  <c r="M34" i="21"/>
  <c r="M34" i="19"/>
  <c r="I34" i="20"/>
  <c r="I34" i="21"/>
  <c r="I34" i="19"/>
  <c r="T41" i="21"/>
  <c r="T48" i="21"/>
  <c r="Q48" i="20"/>
  <c r="Q41" i="20"/>
  <c r="W39" i="21"/>
  <c r="X39" i="21"/>
  <c r="R41" i="19"/>
  <c r="R48" i="19"/>
  <c r="N41" i="21"/>
  <c r="N48" i="21"/>
  <c r="O41" i="19"/>
  <c r="O48" i="19"/>
  <c r="R15" i="21"/>
  <c r="X6" i="21"/>
  <c r="W6" i="21"/>
  <c r="P43" i="19"/>
  <c r="P50" i="19"/>
  <c r="L48" i="20"/>
  <c r="L41" i="20"/>
  <c r="T48" i="19"/>
  <c r="T41" i="19"/>
  <c r="Q41" i="21"/>
  <c r="Q48" i="21"/>
  <c r="V41" i="20"/>
  <c r="V48" i="20"/>
  <c r="X39" i="19"/>
  <c r="W39" i="19"/>
  <c r="N41" i="19"/>
  <c r="N48" i="19"/>
  <c r="X6" i="19"/>
  <c r="R15" i="19"/>
  <c r="W6" i="19"/>
  <c r="K41" i="20"/>
  <c r="W37" i="20"/>
  <c r="X37" i="20"/>
  <c r="K48" i="20"/>
  <c r="L41" i="21"/>
  <c r="L48" i="21"/>
  <c r="R50" i="20"/>
  <c r="R43" i="20"/>
  <c r="C55" i="20"/>
  <c r="B61" i="20" s="1"/>
  <c r="E74" i="20"/>
  <c r="F2" i="20"/>
  <c r="F74" i="21"/>
  <c r="G2" i="21"/>
  <c r="D55" i="21"/>
  <c r="C61" i="21" s="1"/>
  <c r="C55" i="19"/>
  <c r="E74" i="19"/>
  <c r="F2" i="19"/>
  <c r="I34" i="17"/>
  <c r="I34" i="18"/>
  <c r="R43" i="13"/>
  <c r="R50" i="13"/>
  <c r="P43" i="13"/>
  <c r="P50" i="13"/>
  <c r="R48" i="18"/>
  <c r="R41" i="18"/>
  <c r="T41" i="17"/>
  <c r="T48" i="17"/>
  <c r="O48" i="18"/>
  <c r="O41" i="18"/>
  <c r="X37" i="18"/>
  <c r="W37" i="18"/>
  <c r="K41" i="18"/>
  <c r="K48" i="18"/>
  <c r="S34" i="18"/>
  <c r="S43" i="18" s="1"/>
  <c r="S34" i="17"/>
  <c r="S50" i="17" s="1"/>
  <c r="R41" i="17"/>
  <c r="R48" i="17"/>
  <c r="W6" i="17"/>
  <c r="R15" i="17"/>
  <c r="X6" i="17"/>
  <c r="V41" i="17"/>
  <c r="V48" i="17"/>
  <c r="R43" i="18"/>
  <c r="R50" i="18"/>
  <c r="P43" i="17"/>
  <c r="P50" i="17"/>
  <c r="Q48" i="17"/>
  <c r="Q41" i="17"/>
  <c r="O34" i="18"/>
  <c r="O34" i="17"/>
  <c r="M34" i="17"/>
  <c r="M34" i="18"/>
  <c r="W39" i="17"/>
  <c r="X39" i="17"/>
  <c r="X6" i="18"/>
  <c r="R15" i="18"/>
  <c r="W6" i="18"/>
  <c r="S50" i="18"/>
  <c r="R50" i="17"/>
  <c r="R43" i="17"/>
  <c r="P50" i="18"/>
  <c r="P43" i="18"/>
  <c r="Q41" i="18"/>
  <c r="Q48" i="18"/>
  <c r="J34" i="17"/>
  <c r="J43" i="17" s="1"/>
  <c r="J34" i="18"/>
  <c r="J50" i="18" s="1"/>
  <c r="L34" i="18"/>
  <c r="L34" i="17"/>
  <c r="L41" i="18"/>
  <c r="L48" i="18"/>
  <c r="N48" i="17"/>
  <c r="N41" i="17"/>
  <c r="V41" i="18"/>
  <c r="V48" i="18"/>
  <c r="N4" i="18"/>
  <c r="N4" i="17"/>
  <c r="W39" i="18"/>
  <c r="X39" i="18"/>
  <c r="L48" i="17"/>
  <c r="L41" i="17"/>
  <c r="N41" i="18"/>
  <c r="N48" i="18"/>
  <c r="T41" i="18"/>
  <c r="T48" i="18"/>
  <c r="O41" i="17"/>
  <c r="O48" i="17"/>
  <c r="K41" i="17"/>
  <c r="W37" i="17"/>
  <c r="K48" i="17"/>
  <c r="X37" i="17"/>
  <c r="C55" i="18"/>
  <c r="E74" i="18"/>
  <c r="F2" i="18"/>
  <c r="C55" i="17"/>
  <c r="B61" i="17" s="1"/>
  <c r="F74" i="17"/>
  <c r="G2" i="17"/>
  <c r="N4" i="13"/>
  <c r="O47" i="3"/>
  <c r="O49" i="3" s="1"/>
  <c r="O34" i="13"/>
  <c r="R41" i="13"/>
  <c r="M47" i="3"/>
  <c r="M49" i="3" s="1"/>
  <c r="M34" i="13"/>
  <c r="I47" i="3"/>
  <c r="I49" i="3" s="1"/>
  <c r="I34" i="13"/>
  <c r="I50" i="13" s="1"/>
  <c r="V41" i="13"/>
  <c r="L41" i="13"/>
  <c r="O41" i="13"/>
  <c r="S47" i="3"/>
  <c r="S49" i="3" s="1"/>
  <c r="S34" i="13"/>
  <c r="S50" i="13" s="1"/>
  <c r="Q41" i="13"/>
  <c r="X39" i="13"/>
  <c r="W39" i="13"/>
  <c r="X48" i="3"/>
  <c r="J47" i="3"/>
  <c r="J49" i="3" s="1"/>
  <c r="J34" i="13"/>
  <c r="J43" i="13" s="1"/>
  <c r="L47" i="3"/>
  <c r="L49" i="3" s="1"/>
  <c r="L34" i="13"/>
  <c r="T41" i="13"/>
  <c r="R15" i="13"/>
  <c r="W6" i="13"/>
  <c r="X6" i="13"/>
  <c r="N41" i="13"/>
  <c r="X37" i="13"/>
  <c r="K41" i="13"/>
  <c r="W37" i="13"/>
  <c r="E74" i="13"/>
  <c r="F2" i="13"/>
  <c r="C50" i="3"/>
  <c r="D50" i="3" s="1"/>
  <c r="E50" i="3" s="1"/>
  <c r="F50" i="3" s="1"/>
  <c r="G50" i="3" s="1"/>
  <c r="H50" i="3" s="1"/>
  <c r="I14" i="9"/>
  <c r="I15" i="9"/>
  <c r="V5" i="5"/>
  <c r="V52" i="22" s="1"/>
  <c r="T5" i="5"/>
  <c r="T52" i="22" s="1"/>
  <c r="U5" i="5"/>
  <c r="V16" i="5"/>
  <c r="O6" i="2"/>
  <c r="T11" i="2"/>
  <c r="U11" i="2"/>
  <c r="V11" i="2"/>
  <c r="J5" i="2"/>
  <c r="B5" i="2"/>
  <c r="F5" i="2"/>
  <c r="K5" i="2"/>
  <c r="C5" i="2"/>
  <c r="M5" i="2"/>
  <c r="H5" i="2"/>
  <c r="L5" i="2"/>
  <c r="D5" i="2"/>
  <c r="E5" i="2"/>
  <c r="G5" i="2"/>
  <c r="I5" i="2"/>
  <c r="B22" i="2"/>
  <c r="B102" i="12"/>
  <c r="A96" i="12"/>
  <c r="B73" i="12"/>
  <c r="A78" i="12"/>
  <c r="A83" i="12" s="1"/>
  <c r="A77" i="12"/>
  <c r="A82" i="12" s="1"/>
  <c r="A76" i="12"/>
  <c r="A81" i="12" s="1"/>
  <c r="A75" i="12"/>
  <c r="A80" i="12" s="1"/>
  <c r="T38" i="12"/>
  <c r="T33" i="12"/>
  <c r="T31" i="12"/>
  <c r="T10" i="12"/>
  <c r="T5" i="12"/>
  <c r="T3" i="12"/>
  <c r="A86" i="12"/>
  <c r="A87" i="12"/>
  <c r="A85" i="12"/>
  <c r="R38" i="12"/>
  <c r="Q38" i="12"/>
  <c r="O38" i="12"/>
  <c r="N38" i="12"/>
  <c r="L38" i="12"/>
  <c r="K38" i="12"/>
  <c r="I38" i="12"/>
  <c r="H38" i="12"/>
  <c r="G38" i="12"/>
  <c r="F38" i="12"/>
  <c r="E38" i="12"/>
  <c r="D38" i="12"/>
  <c r="C38" i="12"/>
  <c r="B38" i="12"/>
  <c r="J36" i="12"/>
  <c r="I36" i="12"/>
  <c r="H36" i="12"/>
  <c r="G36" i="12"/>
  <c r="F36" i="12"/>
  <c r="E36" i="12"/>
  <c r="D36" i="12"/>
  <c r="C36" i="12"/>
  <c r="B36" i="12"/>
  <c r="X35" i="12"/>
  <c r="W35" i="12"/>
  <c r="Q33" i="12"/>
  <c r="N33" i="12"/>
  <c r="K33" i="12"/>
  <c r="H33" i="12"/>
  <c r="G33" i="12"/>
  <c r="F33" i="12"/>
  <c r="E33" i="12"/>
  <c r="D33" i="12"/>
  <c r="C33" i="12"/>
  <c r="B33" i="12"/>
  <c r="R31" i="12"/>
  <c r="Q31" i="12"/>
  <c r="O31" i="12"/>
  <c r="N31" i="12"/>
  <c r="L31" i="12"/>
  <c r="K31" i="12"/>
  <c r="I31" i="12"/>
  <c r="H31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X7" i="12"/>
  <c r="W7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R3" i="12"/>
  <c r="Q3" i="12"/>
  <c r="C1" i="12"/>
  <c r="D1" i="12" s="1"/>
  <c r="E1" i="12" s="1"/>
  <c r="F1" i="12" s="1"/>
  <c r="G1" i="12" s="1"/>
  <c r="H1" i="12" s="1"/>
  <c r="I1" i="12" s="1"/>
  <c r="J1" i="12" s="1"/>
  <c r="K1" i="12" s="1"/>
  <c r="L1" i="12" s="1"/>
  <c r="M1" i="12" s="1"/>
  <c r="N1" i="12" s="1"/>
  <c r="O1" i="12" s="1"/>
  <c r="P1" i="12" s="1"/>
  <c r="Q1" i="12" s="1"/>
  <c r="R1" i="12" s="1"/>
  <c r="S1" i="12" s="1"/>
  <c r="T1" i="12" s="1"/>
  <c r="U1" i="12" s="1"/>
  <c r="V1" i="12" s="1"/>
  <c r="V73" i="12" s="1"/>
  <c r="F15" i="5"/>
  <c r="H15" i="5"/>
  <c r="E4" i="5"/>
  <c r="G4" i="5"/>
  <c r="M4" i="5"/>
  <c r="O4" i="5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H31" i="3"/>
  <c r="G31" i="3"/>
  <c r="F31" i="3"/>
  <c r="E31" i="3"/>
  <c r="D31" i="3"/>
  <c r="C31" i="3"/>
  <c r="B31" i="3"/>
  <c r="T31" i="3"/>
  <c r="Q31" i="3"/>
  <c r="N31" i="3"/>
  <c r="K31" i="3"/>
  <c r="W28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D27" i="3"/>
  <c r="C27" i="3"/>
  <c r="B27" i="3"/>
  <c r="W21" i="3"/>
  <c r="C20" i="3"/>
  <c r="D20" i="3" s="1"/>
  <c r="E20" i="3" s="1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Q12" i="3"/>
  <c r="Q13" i="3" s="1"/>
  <c r="P12" i="3"/>
  <c r="O12" i="3"/>
  <c r="N12" i="3"/>
  <c r="M12" i="3"/>
  <c r="L12" i="3"/>
  <c r="K12" i="3"/>
  <c r="J12" i="3"/>
  <c r="I12" i="3"/>
  <c r="I13" i="3" s="1"/>
  <c r="H12" i="3"/>
  <c r="G12" i="3"/>
  <c r="F12" i="3"/>
  <c r="E12" i="3"/>
  <c r="D12" i="3"/>
  <c r="C12" i="3"/>
  <c r="B12" i="3"/>
  <c r="T12" i="3"/>
  <c r="C3" i="3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28" i="2"/>
  <c r="W21" i="2"/>
  <c r="I31" i="2"/>
  <c r="H31" i="2"/>
  <c r="G31" i="2"/>
  <c r="F31" i="2"/>
  <c r="E31" i="2"/>
  <c r="D31" i="2"/>
  <c r="C31" i="2"/>
  <c r="B31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6" i="2"/>
  <c r="E25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V8" i="2"/>
  <c r="U8" i="2"/>
  <c r="T8" i="2"/>
  <c r="S8" i="2"/>
  <c r="R8" i="2"/>
  <c r="Q8" i="2"/>
  <c r="P7" i="2"/>
  <c r="C20" i="2"/>
  <c r="D20" i="2" s="1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D15" i="5"/>
  <c r="F25" i="2"/>
  <c r="C23" i="2"/>
  <c r="N8" i="2"/>
  <c r="D80" i="8"/>
  <c r="D78" i="8"/>
  <c r="C78" i="8"/>
  <c r="B59" i="8"/>
  <c r="B60" i="8" s="1"/>
  <c r="C43" i="8"/>
  <c r="C41" i="8"/>
  <c r="C40" i="8"/>
  <c r="C39" i="8"/>
  <c r="C31" i="8"/>
  <c r="C30" i="8"/>
  <c r="C34" i="8"/>
  <c r="C32" i="8"/>
  <c r="C27" i="8"/>
  <c r="B27" i="8" s="1"/>
  <c r="C19" i="8"/>
  <c r="B19" i="8" s="1"/>
  <c r="B8" i="8"/>
  <c r="B6" i="8"/>
  <c r="O38" i="24" l="1"/>
  <c r="O39" i="24" s="1"/>
  <c r="C15" i="24"/>
  <c r="C38" i="24"/>
  <c r="C39" i="24" s="1"/>
  <c r="M38" i="24"/>
  <c r="M39" i="24" s="1"/>
  <c r="F15" i="24"/>
  <c r="F38" i="24"/>
  <c r="F39" i="24" s="1"/>
  <c r="W6" i="24"/>
  <c r="N8" i="24"/>
  <c r="N13" i="24" s="1"/>
  <c r="N15" i="24" s="1"/>
  <c r="G15" i="24"/>
  <c r="G38" i="24"/>
  <c r="G39" i="24" s="1"/>
  <c r="E24" i="2"/>
  <c r="E24" i="24"/>
  <c r="D24" i="24"/>
  <c r="H38" i="24"/>
  <c r="H39" i="24" s="1"/>
  <c r="H15" i="24"/>
  <c r="B49" i="24"/>
  <c r="B50" i="24" s="1"/>
  <c r="C50" i="24" s="1"/>
  <c r="P13" i="3"/>
  <c r="H13" i="3"/>
  <c r="I38" i="24"/>
  <c r="I39" i="24" s="1"/>
  <c r="I15" i="24"/>
  <c r="B32" i="24"/>
  <c r="K15" i="24"/>
  <c r="K38" i="24"/>
  <c r="K39" i="24" s="1"/>
  <c r="X5" i="24"/>
  <c r="B8" i="24"/>
  <c r="W5" i="24"/>
  <c r="H32" i="2"/>
  <c r="H36" i="22" s="1"/>
  <c r="J15" i="24"/>
  <c r="J38" i="24"/>
  <c r="J39" i="24" s="1"/>
  <c r="P38" i="24"/>
  <c r="P39" i="24" s="1"/>
  <c r="S50" i="21"/>
  <c r="S4" i="13"/>
  <c r="S13" i="13" s="1"/>
  <c r="S4" i="20"/>
  <c r="S31" i="22"/>
  <c r="S4" i="18"/>
  <c r="S13" i="18" s="1"/>
  <c r="W10" i="24"/>
  <c r="S12" i="24"/>
  <c r="S13" i="24" s="1"/>
  <c r="S4" i="21"/>
  <c r="S4" i="19"/>
  <c r="S13" i="19" s="1"/>
  <c r="W10" i="2"/>
  <c r="S4" i="17"/>
  <c r="O46" i="22"/>
  <c r="S49" i="22"/>
  <c r="V15" i="24"/>
  <c r="V38" i="24"/>
  <c r="V39" i="24" s="1"/>
  <c r="W11" i="24"/>
  <c r="T12" i="24"/>
  <c r="U15" i="24"/>
  <c r="U38" i="24"/>
  <c r="U39" i="24" s="1"/>
  <c r="W45" i="22"/>
  <c r="O16" i="5"/>
  <c r="O56" i="22" s="1"/>
  <c r="X45" i="22"/>
  <c r="I46" i="22"/>
  <c r="L16" i="5"/>
  <c r="L56" i="22" s="1"/>
  <c r="J50" i="21"/>
  <c r="I49" i="22"/>
  <c r="M49" i="22"/>
  <c r="L49" i="22"/>
  <c r="M56" i="22"/>
  <c r="M67" i="22"/>
  <c r="M71" i="22" s="1"/>
  <c r="F34" i="22"/>
  <c r="F35" i="22" s="1"/>
  <c r="G34" i="22"/>
  <c r="G35" i="22" s="1"/>
  <c r="B34" i="22"/>
  <c r="B35" i="22" s="1"/>
  <c r="K16" i="5"/>
  <c r="K33" i="20" s="1"/>
  <c r="K35" i="20" s="1"/>
  <c r="K107" i="20" s="1"/>
  <c r="R16" i="5"/>
  <c r="R33" i="20" s="1"/>
  <c r="R35" i="20" s="1"/>
  <c r="R107" i="20" s="1"/>
  <c r="U16" i="5"/>
  <c r="U33" i="19" s="1"/>
  <c r="U35" i="19" s="1"/>
  <c r="U107" i="19" s="1"/>
  <c r="J43" i="19"/>
  <c r="V56" i="22"/>
  <c r="V60" i="22" s="1"/>
  <c r="V67" i="22"/>
  <c r="C34" i="22"/>
  <c r="C35" i="22" s="1"/>
  <c r="T16" i="5"/>
  <c r="T33" i="21" s="1"/>
  <c r="T35" i="21" s="1"/>
  <c r="T107" i="21" s="1"/>
  <c r="N16" i="5"/>
  <c r="N33" i="13" s="1"/>
  <c r="N35" i="13" s="1"/>
  <c r="N107" i="13" s="1"/>
  <c r="Q16" i="5"/>
  <c r="Q33" i="18" s="1"/>
  <c r="Q35" i="18" s="1"/>
  <c r="Q107" i="18" s="1"/>
  <c r="J49" i="22"/>
  <c r="J46" i="22"/>
  <c r="P16" i="5"/>
  <c r="P33" i="20" s="1"/>
  <c r="S16" i="5"/>
  <c r="S33" i="21" s="1"/>
  <c r="E30" i="22"/>
  <c r="E31" i="22" s="1"/>
  <c r="C30" i="22"/>
  <c r="C31" i="22" s="1"/>
  <c r="O30" i="22"/>
  <c r="P30" i="22"/>
  <c r="M30" i="22"/>
  <c r="T29" i="22"/>
  <c r="H9" i="22"/>
  <c r="G30" i="22"/>
  <c r="G31" i="22" s="1"/>
  <c r="H30" i="22"/>
  <c r="F3" i="12"/>
  <c r="F12" i="12" s="1"/>
  <c r="F30" i="22"/>
  <c r="F31" i="22" s="1"/>
  <c r="U29" i="22"/>
  <c r="D30" i="22"/>
  <c r="D31" i="22" s="1"/>
  <c r="J30" i="22"/>
  <c r="N31" i="22"/>
  <c r="N38" i="22"/>
  <c r="B30" i="22"/>
  <c r="I30" i="22"/>
  <c r="L30" i="22"/>
  <c r="K30" i="22"/>
  <c r="V29" i="22"/>
  <c r="U52" i="22"/>
  <c r="E34" i="22"/>
  <c r="J43" i="20"/>
  <c r="H20" i="12"/>
  <c r="H6" i="22"/>
  <c r="H43" i="22" s="1"/>
  <c r="H21" i="21"/>
  <c r="H66" i="21" s="1"/>
  <c r="H21" i="18"/>
  <c r="H66" i="18" s="1"/>
  <c r="H21" i="13"/>
  <c r="H21" i="20"/>
  <c r="H66" i="20" s="1"/>
  <c r="H21" i="17"/>
  <c r="H66" i="17" s="1"/>
  <c r="H21" i="19"/>
  <c r="H66" i="19" s="1"/>
  <c r="P20" i="12"/>
  <c r="P6" i="22"/>
  <c r="P43" i="22" s="1"/>
  <c r="P21" i="21"/>
  <c r="P66" i="21" s="1"/>
  <c r="P21" i="18"/>
  <c r="P66" i="18" s="1"/>
  <c r="P21" i="13"/>
  <c r="P21" i="20"/>
  <c r="P66" i="20" s="1"/>
  <c r="P21" i="17"/>
  <c r="P66" i="17" s="1"/>
  <c r="P21" i="19"/>
  <c r="P66" i="19" s="1"/>
  <c r="I21" i="19"/>
  <c r="I6" i="22"/>
  <c r="I43" i="22" s="1"/>
  <c r="I21" i="21"/>
  <c r="I21" i="18"/>
  <c r="I21" i="13"/>
  <c r="I21" i="17"/>
  <c r="I21" i="20"/>
  <c r="Q21" i="19"/>
  <c r="Q66" i="19" s="1"/>
  <c r="Q6" i="22"/>
  <c r="Q43" i="22" s="1"/>
  <c r="Q21" i="21"/>
  <c r="Q66" i="21" s="1"/>
  <c r="Q21" i="18"/>
  <c r="Q66" i="18" s="1"/>
  <c r="Q21" i="13"/>
  <c r="Q21" i="20"/>
  <c r="Q66" i="20" s="1"/>
  <c r="Q21" i="17"/>
  <c r="Q66" i="17" s="1"/>
  <c r="B10" i="8"/>
  <c r="S43" i="13"/>
  <c r="S43" i="17"/>
  <c r="J43" i="18"/>
  <c r="S50" i="19"/>
  <c r="G4" i="20"/>
  <c r="G4" i="21"/>
  <c r="G4" i="19"/>
  <c r="H4" i="20"/>
  <c r="H4" i="21"/>
  <c r="H4" i="19"/>
  <c r="F4" i="20"/>
  <c r="F4" i="19"/>
  <c r="F4" i="21"/>
  <c r="U9" i="20"/>
  <c r="U9" i="21"/>
  <c r="U9" i="19"/>
  <c r="M33" i="20"/>
  <c r="M33" i="19"/>
  <c r="M33" i="21"/>
  <c r="T5" i="21"/>
  <c r="T7" i="21" s="1"/>
  <c r="T5" i="19"/>
  <c r="T7" i="19" s="1"/>
  <c r="T5" i="20"/>
  <c r="T7" i="20" s="1"/>
  <c r="X34" i="19"/>
  <c r="W34" i="19"/>
  <c r="I43" i="19"/>
  <c r="I50" i="19"/>
  <c r="M43" i="21"/>
  <c r="M50" i="21"/>
  <c r="S13" i="20"/>
  <c r="O43" i="21"/>
  <c r="O50" i="21"/>
  <c r="N13" i="20"/>
  <c r="L43" i="20"/>
  <c r="L50" i="20"/>
  <c r="P4" i="20"/>
  <c r="P4" i="21"/>
  <c r="P4" i="19"/>
  <c r="I4" i="21"/>
  <c r="I4" i="20"/>
  <c r="I4" i="19"/>
  <c r="L4" i="20"/>
  <c r="L4" i="21"/>
  <c r="L4" i="19"/>
  <c r="K4" i="20"/>
  <c r="K4" i="21"/>
  <c r="K4" i="19"/>
  <c r="V9" i="20"/>
  <c r="V9" i="21"/>
  <c r="V9" i="19"/>
  <c r="V33" i="21"/>
  <c r="V35" i="21" s="1"/>
  <c r="V107" i="21" s="1"/>
  <c r="V33" i="20"/>
  <c r="V35" i="20" s="1"/>
  <c r="V107" i="20" s="1"/>
  <c r="V33" i="19"/>
  <c r="V35" i="19" s="1"/>
  <c r="V107" i="19" s="1"/>
  <c r="U5" i="20"/>
  <c r="U7" i="20" s="1"/>
  <c r="U5" i="19"/>
  <c r="U7" i="19" s="1"/>
  <c r="U5" i="21"/>
  <c r="U7" i="21" s="1"/>
  <c r="E32" i="20"/>
  <c r="E32" i="19"/>
  <c r="E32" i="21"/>
  <c r="M50" i="19"/>
  <c r="M43" i="19"/>
  <c r="S13" i="21"/>
  <c r="O43" i="19"/>
  <c r="O50" i="19"/>
  <c r="N13" i="19"/>
  <c r="L50" i="21"/>
  <c r="L43" i="21"/>
  <c r="G32" i="20"/>
  <c r="G32" i="21"/>
  <c r="G32" i="19"/>
  <c r="C32" i="20"/>
  <c r="C32" i="21"/>
  <c r="C32" i="19"/>
  <c r="B27" i="2"/>
  <c r="B32" i="2" s="1"/>
  <c r="B32" i="20"/>
  <c r="B32" i="21"/>
  <c r="B32" i="19"/>
  <c r="D4" i="20"/>
  <c r="D4" i="21"/>
  <c r="D4" i="19"/>
  <c r="C4" i="20"/>
  <c r="C4" i="21"/>
  <c r="C4" i="19"/>
  <c r="J4" i="20"/>
  <c r="J4" i="21"/>
  <c r="J4" i="19"/>
  <c r="O4" i="20"/>
  <c r="O4" i="21"/>
  <c r="O4" i="19"/>
  <c r="R33" i="19"/>
  <c r="R35" i="19" s="1"/>
  <c r="R107" i="19" s="1"/>
  <c r="X34" i="20"/>
  <c r="I43" i="20"/>
  <c r="W34" i="20"/>
  <c r="I50" i="20"/>
  <c r="N13" i="21"/>
  <c r="L43" i="19"/>
  <c r="L50" i="19"/>
  <c r="J50" i="17"/>
  <c r="F32" i="20"/>
  <c r="F32" i="21"/>
  <c r="F32" i="19"/>
  <c r="E4" i="21"/>
  <c r="E4" i="20"/>
  <c r="E4" i="19"/>
  <c r="M4" i="21"/>
  <c r="M4" i="20"/>
  <c r="M4" i="19"/>
  <c r="B4" i="20"/>
  <c r="B4" i="21"/>
  <c r="B4" i="19"/>
  <c r="T9" i="21"/>
  <c r="T9" i="20"/>
  <c r="T9" i="19"/>
  <c r="Q33" i="19"/>
  <c r="Q35" i="19" s="1"/>
  <c r="Q107" i="19" s="1"/>
  <c r="V5" i="21"/>
  <c r="V7" i="21" s="1"/>
  <c r="V5" i="20"/>
  <c r="V7" i="20" s="1"/>
  <c r="V5" i="19"/>
  <c r="V7" i="19" s="1"/>
  <c r="X34" i="21"/>
  <c r="I43" i="21"/>
  <c r="W34" i="21"/>
  <c r="I50" i="21"/>
  <c r="M50" i="20"/>
  <c r="M43" i="20"/>
  <c r="O43" i="20"/>
  <c r="O50" i="20"/>
  <c r="F74" i="20"/>
  <c r="G2" i="20"/>
  <c r="D55" i="20"/>
  <c r="C61" i="20" s="1"/>
  <c r="G74" i="21"/>
  <c r="H2" i="21"/>
  <c r="E55" i="21"/>
  <c r="D61" i="21" s="1"/>
  <c r="D55" i="19"/>
  <c r="C61" i="19" s="1"/>
  <c r="B61" i="19"/>
  <c r="F74" i="19"/>
  <c r="G2" i="19"/>
  <c r="J4" i="18"/>
  <c r="J4" i="17"/>
  <c r="M43" i="13"/>
  <c r="M50" i="13"/>
  <c r="N13" i="18"/>
  <c r="O43" i="13"/>
  <c r="O50" i="13"/>
  <c r="N13" i="17"/>
  <c r="L43" i="17"/>
  <c r="L50" i="17"/>
  <c r="M50" i="17"/>
  <c r="M43" i="17"/>
  <c r="W34" i="18"/>
  <c r="X34" i="18"/>
  <c r="I43" i="18"/>
  <c r="I50" i="18"/>
  <c r="J50" i="13"/>
  <c r="C4" i="17"/>
  <c r="C4" i="18"/>
  <c r="L43" i="18"/>
  <c r="L50" i="18"/>
  <c r="O50" i="17"/>
  <c r="O43" i="17"/>
  <c r="S13" i="17"/>
  <c r="G32" i="18"/>
  <c r="G32" i="17"/>
  <c r="E4" i="18"/>
  <c r="E4" i="17"/>
  <c r="M4" i="18"/>
  <c r="M4" i="17"/>
  <c r="B4" i="18"/>
  <c r="B4" i="17"/>
  <c r="T9" i="18"/>
  <c r="T9" i="17"/>
  <c r="V5" i="18"/>
  <c r="V7" i="18" s="1"/>
  <c r="V5" i="17"/>
  <c r="V7" i="17" s="1"/>
  <c r="C32" i="17"/>
  <c r="C32" i="18"/>
  <c r="P4" i="18"/>
  <c r="P4" i="17"/>
  <c r="G4" i="17"/>
  <c r="G4" i="18"/>
  <c r="H4" i="18"/>
  <c r="H4" i="17"/>
  <c r="F4" i="18"/>
  <c r="F4" i="17"/>
  <c r="U9" i="17"/>
  <c r="U9" i="18"/>
  <c r="M33" i="13"/>
  <c r="M33" i="17"/>
  <c r="M33" i="18"/>
  <c r="T5" i="18"/>
  <c r="T7" i="18" s="1"/>
  <c r="T5" i="17"/>
  <c r="T7" i="17" s="1"/>
  <c r="L43" i="13"/>
  <c r="L50" i="13"/>
  <c r="M50" i="18"/>
  <c r="M43" i="18"/>
  <c r="B32" i="13"/>
  <c r="B48" i="13" s="1"/>
  <c r="B32" i="18"/>
  <c r="B32" i="17"/>
  <c r="D4" i="18"/>
  <c r="D4" i="17"/>
  <c r="O4" i="17"/>
  <c r="O4" i="18"/>
  <c r="I50" i="17"/>
  <c r="W34" i="17"/>
  <c r="X34" i="17"/>
  <c r="I43" i="17"/>
  <c r="F32" i="18"/>
  <c r="F32" i="17"/>
  <c r="I4" i="18"/>
  <c r="I4" i="17"/>
  <c r="L4" i="18"/>
  <c r="L4" i="17"/>
  <c r="K4" i="17"/>
  <c r="K4" i="18"/>
  <c r="V9" i="17"/>
  <c r="V9" i="18"/>
  <c r="V33" i="13"/>
  <c r="V35" i="13" s="1"/>
  <c r="V107" i="13" s="1"/>
  <c r="V33" i="18"/>
  <c r="V35" i="18" s="1"/>
  <c r="V107" i="18" s="1"/>
  <c r="V33" i="17"/>
  <c r="V35" i="17" s="1"/>
  <c r="V107" i="17" s="1"/>
  <c r="U5" i="18"/>
  <c r="U7" i="18" s="1"/>
  <c r="U5" i="17"/>
  <c r="U7" i="17" s="1"/>
  <c r="E32" i="18"/>
  <c r="E32" i="17"/>
  <c r="O50" i="18"/>
  <c r="O43" i="18"/>
  <c r="F74" i="18"/>
  <c r="G2" i="18"/>
  <c r="D55" i="18"/>
  <c r="C61" i="18" s="1"/>
  <c r="B61" i="18"/>
  <c r="G74" i="17"/>
  <c r="H2" i="17"/>
  <c r="D55" i="17"/>
  <c r="C8" i="2"/>
  <c r="C13" i="2" s="1"/>
  <c r="C5" i="22" s="1"/>
  <c r="C4" i="13"/>
  <c r="E4" i="13"/>
  <c r="M4" i="13"/>
  <c r="B4" i="13"/>
  <c r="T9" i="13"/>
  <c r="V5" i="13"/>
  <c r="V7" i="13" s="1"/>
  <c r="I43" i="13"/>
  <c r="X34" i="13"/>
  <c r="W34" i="13"/>
  <c r="X49" i="3"/>
  <c r="D16" i="5"/>
  <c r="D33" i="17" s="1"/>
  <c r="F16" i="5"/>
  <c r="F33" i="18" s="1"/>
  <c r="J4" i="13"/>
  <c r="G32" i="13"/>
  <c r="G48" i="13" s="1"/>
  <c r="H16" i="5"/>
  <c r="H33" i="17" s="1"/>
  <c r="H35" i="17" s="1"/>
  <c r="H107" i="17" s="1"/>
  <c r="C32" i="13"/>
  <c r="C48" i="13" s="1"/>
  <c r="P4" i="13"/>
  <c r="E5" i="5"/>
  <c r="E5" i="17" s="1"/>
  <c r="G4" i="13"/>
  <c r="H4" i="13"/>
  <c r="F4" i="13"/>
  <c r="U9" i="13"/>
  <c r="T5" i="13"/>
  <c r="T7" i="13" s="1"/>
  <c r="M5" i="5"/>
  <c r="M5" i="18" s="1"/>
  <c r="D4" i="13"/>
  <c r="W6" i="2"/>
  <c r="O4" i="13"/>
  <c r="N13" i="13"/>
  <c r="F32" i="13"/>
  <c r="F48" i="13" s="1"/>
  <c r="O5" i="5"/>
  <c r="O5" i="17" s="1"/>
  <c r="G5" i="5"/>
  <c r="G5" i="18" s="1"/>
  <c r="I4" i="13"/>
  <c r="L4" i="13"/>
  <c r="K8" i="2"/>
  <c r="K13" i="2" s="1"/>
  <c r="K5" i="22" s="1"/>
  <c r="K4" i="13"/>
  <c r="V9" i="13"/>
  <c r="U5" i="13"/>
  <c r="U7" i="13" s="1"/>
  <c r="E32" i="13"/>
  <c r="E48" i="13" s="1"/>
  <c r="F74" i="13"/>
  <c r="G2" i="13"/>
  <c r="I50" i="3"/>
  <c r="C47" i="2"/>
  <c r="C49" i="2" s="1"/>
  <c r="E47" i="2"/>
  <c r="E49" i="2" s="1"/>
  <c r="G27" i="2"/>
  <c r="G32" i="2" s="1"/>
  <c r="G47" i="2"/>
  <c r="G49" i="2" s="1"/>
  <c r="B47" i="2"/>
  <c r="F27" i="2"/>
  <c r="F32" i="2" s="1"/>
  <c r="F47" i="2"/>
  <c r="F49" i="2" s="1"/>
  <c r="U73" i="12"/>
  <c r="N13" i="2"/>
  <c r="N5" i="22" s="1"/>
  <c r="L4" i="5"/>
  <c r="D4" i="5"/>
  <c r="E15" i="5"/>
  <c r="N4" i="5"/>
  <c r="F4" i="5"/>
  <c r="G15" i="5"/>
  <c r="P4" i="5"/>
  <c r="H4" i="5"/>
  <c r="I15" i="5"/>
  <c r="Q4" i="5"/>
  <c r="I4" i="5"/>
  <c r="J15" i="5"/>
  <c r="B4" i="5"/>
  <c r="R4" i="5"/>
  <c r="J4" i="5"/>
  <c r="B15" i="5"/>
  <c r="C15" i="5"/>
  <c r="S4" i="5"/>
  <c r="K4" i="5"/>
  <c r="C4" i="5"/>
  <c r="I20" i="12"/>
  <c r="Q20" i="12"/>
  <c r="J13" i="3"/>
  <c r="J15" i="3" s="1"/>
  <c r="W5" i="2"/>
  <c r="P3" i="12"/>
  <c r="P12" i="12" s="1"/>
  <c r="W7" i="2"/>
  <c r="W11" i="2"/>
  <c r="L73" i="12"/>
  <c r="H73" i="12"/>
  <c r="D73" i="12"/>
  <c r="T73" i="12"/>
  <c r="P73" i="12"/>
  <c r="C73" i="12"/>
  <c r="G73" i="12"/>
  <c r="K73" i="12"/>
  <c r="O73" i="12"/>
  <c r="S73" i="12"/>
  <c r="F73" i="12"/>
  <c r="J73" i="12"/>
  <c r="N73" i="12"/>
  <c r="R73" i="12"/>
  <c r="E73" i="12"/>
  <c r="I73" i="12"/>
  <c r="M73" i="12"/>
  <c r="Q73" i="12"/>
  <c r="E31" i="12"/>
  <c r="H47" i="12"/>
  <c r="T42" i="12"/>
  <c r="N3" i="12"/>
  <c r="D3" i="12"/>
  <c r="D12" i="12" s="1"/>
  <c r="H3" i="12"/>
  <c r="H12" i="12" s="1"/>
  <c r="L3" i="12"/>
  <c r="L12" i="12" s="1"/>
  <c r="C31" i="12"/>
  <c r="C40" i="12" s="1"/>
  <c r="G31" i="12"/>
  <c r="G40" i="12" s="1"/>
  <c r="C3" i="12"/>
  <c r="C12" i="12" s="1"/>
  <c r="G3" i="12"/>
  <c r="K3" i="12"/>
  <c r="B31" i="12"/>
  <c r="F31" i="12"/>
  <c r="F40" i="12" s="1"/>
  <c r="S36" i="12"/>
  <c r="T14" i="12"/>
  <c r="F14" i="12"/>
  <c r="Q12" i="12"/>
  <c r="E14" i="12"/>
  <c r="I14" i="12"/>
  <c r="M14" i="12"/>
  <c r="Q14" i="12"/>
  <c r="I40" i="12"/>
  <c r="E42" i="12"/>
  <c r="Q42" i="12"/>
  <c r="R12" i="12"/>
  <c r="J14" i="12"/>
  <c r="N14" i="12"/>
  <c r="F42" i="12"/>
  <c r="N42" i="12"/>
  <c r="D14" i="12"/>
  <c r="H14" i="12"/>
  <c r="L14" i="12"/>
  <c r="P14" i="12"/>
  <c r="H40" i="12"/>
  <c r="D42" i="12"/>
  <c r="H42" i="12"/>
  <c r="C14" i="12"/>
  <c r="G14" i="12"/>
  <c r="K14" i="12"/>
  <c r="O14" i="12"/>
  <c r="C42" i="12"/>
  <c r="G42" i="12"/>
  <c r="K42" i="12"/>
  <c r="B42" i="12"/>
  <c r="B14" i="12"/>
  <c r="F8" i="2"/>
  <c r="F13" i="2" s="1"/>
  <c r="F5" i="22" s="1"/>
  <c r="C27" i="2"/>
  <c r="C32" i="2" s="1"/>
  <c r="P8" i="2"/>
  <c r="P13" i="2" s="1"/>
  <c r="P5" i="22" s="1"/>
  <c r="N13" i="3"/>
  <c r="N15" i="3" s="1"/>
  <c r="G13" i="3"/>
  <c r="O13" i="3"/>
  <c r="T13" i="3"/>
  <c r="D24" i="2"/>
  <c r="D34" i="22" s="1"/>
  <c r="W25" i="2"/>
  <c r="V36" i="12"/>
  <c r="N36" i="12"/>
  <c r="N40" i="12" s="1"/>
  <c r="R36" i="12"/>
  <c r="R40" i="12" s="1"/>
  <c r="V5" i="12"/>
  <c r="I33" i="12"/>
  <c r="U33" i="12"/>
  <c r="U42" i="12" s="1"/>
  <c r="M3" i="12"/>
  <c r="I3" i="12"/>
  <c r="E3" i="12"/>
  <c r="V8" i="12"/>
  <c r="U36" i="12"/>
  <c r="Q36" i="12"/>
  <c r="Q40" i="12" s="1"/>
  <c r="U5" i="12"/>
  <c r="U14" i="12" s="1"/>
  <c r="L33" i="12"/>
  <c r="P33" i="12"/>
  <c r="J3" i="12"/>
  <c r="V3" i="12"/>
  <c r="U8" i="12"/>
  <c r="V31" i="12"/>
  <c r="T36" i="12"/>
  <c r="T40" i="12" s="1"/>
  <c r="L36" i="12"/>
  <c r="L40" i="12" s="1"/>
  <c r="P36" i="12"/>
  <c r="O33" i="12"/>
  <c r="S3" i="12"/>
  <c r="S12" i="12" s="1"/>
  <c r="T8" i="12"/>
  <c r="T12" i="12" s="1"/>
  <c r="I32" i="2"/>
  <c r="K36" i="12"/>
  <c r="O36" i="12"/>
  <c r="R5" i="12"/>
  <c r="R14" i="12" s="1"/>
  <c r="R33" i="12"/>
  <c r="R42" i="12" s="1"/>
  <c r="V33" i="12"/>
  <c r="K32" i="3"/>
  <c r="K10" i="22" s="1"/>
  <c r="K47" i="22" s="1"/>
  <c r="X8" i="3"/>
  <c r="E27" i="3"/>
  <c r="E32" i="3" s="1"/>
  <c r="E10" i="22" s="1"/>
  <c r="E47" i="22" s="1"/>
  <c r="W23" i="3"/>
  <c r="W22" i="3"/>
  <c r="W8" i="3"/>
  <c r="P15" i="3"/>
  <c r="T32" i="3"/>
  <c r="T10" i="22" s="1"/>
  <c r="T47" i="22" s="1"/>
  <c r="F32" i="3"/>
  <c r="F10" i="22" s="1"/>
  <c r="F47" i="22" s="1"/>
  <c r="Q15" i="3"/>
  <c r="Q32" i="3"/>
  <c r="Q10" i="22" s="1"/>
  <c r="C32" i="3"/>
  <c r="C10" i="22" s="1"/>
  <c r="C47" i="22" s="1"/>
  <c r="W26" i="3"/>
  <c r="T15" i="3"/>
  <c r="G32" i="3"/>
  <c r="G10" i="22" s="1"/>
  <c r="G47" i="22" s="1"/>
  <c r="W25" i="3"/>
  <c r="N32" i="3"/>
  <c r="N10" i="22" s="1"/>
  <c r="N47" i="22" s="1"/>
  <c r="H32" i="3"/>
  <c r="H10" i="22" s="1"/>
  <c r="F13" i="3"/>
  <c r="E13" i="3"/>
  <c r="M13" i="3"/>
  <c r="D13" i="3"/>
  <c r="L13" i="3"/>
  <c r="C13" i="3"/>
  <c r="K13" i="3"/>
  <c r="B13" i="3"/>
  <c r="I15" i="3"/>
  <c r="O15" i="3"/>
  <c r="H15" i="3"/>
  <c r="D32" i="3"/>
  <c r="D10" i="22" s="1"/>
  <c r="D47" i="22" s="1"/>
  <c r="B32" i="3"/>
  <c r="B10" i="22" s="1"/>
  <c r="B47" i="22" s="1"/>
  <c r="W24" i="3"/>
  <c r="W26" i="2"/>
  <c r="H34" i="2"/>
  <c r="W23" i="2"/>
  <c r="W22" i="2"/>
  <c r="E27" i="2"/>
  <c r="E32" i="2" s="1"/>
  <c r="R13" i="2"/>
  <c r="R5" i="22" s="1"/>
  <c r="R32" i="22" s="1"/>
  <c r="Q13" i="2"/>
  <c r="Q5" i="22" s="1"/>
  <c r="Q32" i="22" s="1"/>
  <c r="D8" i="2"/>
  <c r="D13" i="2" s="1"/>
  <c r="D5" i="22" s="1"/>
  <c r="L8" i="2"/>
  <c r="L13" i="2" s="1"/>
  <c r="L5" i="22" s="1"/>
  <c r="G8" i="2"/>
  <c r="G13" i="2" s="1"/>
  <c r="G5" i="22" s="1"/>
  <c r="G32" i="22" s="1"/>
  <c r="H8" i="2"/>
  <c r="H13" i="2" s="1"/>
  <c r="H5" i="22" s="1"/>
  <c r="E78" i="8"/>
  <c r="C80" i="8"/>
  <c r="E80" i="8" s="1"/>
  <c r="B36" i="8"/>
  <c r="B62" i="8"/>
  <c r="B61" i="8"/>
  <c r="B65" i="8"/>
  <c r="B45" i="8"/>
  <c r="C21" i="7"/>
  <c r="C19" i="7"/>
  <c r="D53" i="7"/>
  <c r="D55" i="7"/>
  <c r="C53" i="7"/>
  <c r="C55" i="7" s="1"/>
  <c r="C44" i="7"/>
  <c r="D40" i="7"/>
  <c r="D39" i="7"/>
  <c r="D38" i="7"/>
  <c r="D37" i="7"/>
  <c r="C37" i="7"/>
  <c r="E23" i="7"/>
  <c r="E17" i="7"/>
  <c r="E19" i="7" s="1"/>
  <c r="E15" i="7"/>
  <c r="C2" i="5"/>
  <c r="D2" i="5" s="1"/>
  <c r="E2" i="5" s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P33" i="17" l="1"/>
  <c r="B34" i="24"/>
  <c r="B35" i="24" s="1"/>
  <c r="C35" i="24" s="1"/>
  <c r="B33" i="24"/>
  <c r="C33" i="24" s="1"/>
  <c r="O67" i="22"/>
  <c r="D47" i="24"/>
  <c r="D27" i="24"/>
  <c r="W24" i="24"/>
  <c r="B13" i="24"/>
  <c r="W8" i="24"/>
  <c r="X8" i="24"/>
  <c r="E47" i="24"/>
  <c r="E49" i="24" s="1"/>
  <c r="E27" i="24"/>
  <c r="E32" i="24" s="1"/>
  <c r="S15" i="24"/>
  <c r="S38" i="24"/>
  <c r="S39" i="24" s="1"/>
  <c r="W46" i="22"/>
  <c r="L33" i="20"/>
  <c r="L35" i="20" s="1"/>
  <c r="L107" i="20" s="1"/>
  <c r="X49" i="22"/>
  <c r="D32" i="22"/>
  <c r="L33" i="13"/>
  <c r="L35" i="13" s="1"/>
  <c r="L107" i="13" s="1"/>
  <c r="X46" i="22"/>
  <c r="Y46" i="22" s="1"/>
  <c r="N33" i="18"/>
  <c r="N35" i="18" s="1"/>
  <c r="N107" i="18" s="1"/>
  <c r="N33" i="21"/>
  <c r="N35" i="21" s="1"/>
  <c r="N107" i="21" s="1"/>
  <c r="N33" i="17"/>
  <c r="N35" i="17" s="1"/>
  <c r="N107" i="17" s="1"/>
  <c r="K33" i="13"/>
  <c r="K35" i="13" s="1"/>
  <c r="K107" i="13" s="1"/>
  <c r="N33" i="20"/>
  <c r="N35" i="20" s="1"/>
  <c r="N107" i="20" s="1"/>
  <c r="K33" i="19"/>
  <c r="K35" i="19" s="1"/>
  <c r="K107" i="19" s="1"/>
  <c r="K33" i="17"/>
  <c r="K35" i="17" s="1"/>
  <c r="K107" i="17" s="1"/>
  <c r="N33" i="19"/>
  <c r="N35" i="19" s="1"/>
  <c r="N107" i="19" s="1"/>
  <c r="K33" i="21"/>
  <c r="K35" i="21" s="1"/>
  <c r="K107" i="21" s="1"/>
  <c r="T13" i="24"/>
  <c r="W12" i="24"/>
  <c r="X12" i="24"/>
  <c r="K33" i="18"/>
  <c r="K35" i="18" s="1"/>
  <c r="K107" i="18" s="1"/>
  <c r="P33" i="19"/>
  <c r="R33" i="13"/>
  <c r="R35" i="13" s="1"/>
  <c r="R107" i="13" s="1"/>
  <c r="Q33" i="13"/>
  <c r="Q35" i="13" s="1"/>
  <c r="Q107" i="13" s="1"/>
  <c r="Q33" i="21"/>
  <c r="Q35" i="21" s="1"/>
  <c r="Q107" i="21" s="1"/>
  <c r="R33" i="21"/>
  <c r="R35" i="21" s="1"/>
  <c r="R107" i="21" s="1"/>
  <c r="L33" i="18"/>
  <c r="L35" i="18" s="1"/>
  <c r="L107" i="18" s="1"/>
  <c r="R33" i="18"/>
  <c r="R35" i="18" s="1"/>
  <c r="R107" i="18" s="1"/>
  <c r="P33" i="13"/>
  <c r="Q33" i="17"/>
  <c r="Q35" i="17" s="1"/>
  <c r="Q107" i="17" s="1"/>
  <c r="Q33" i="20"/>
  <c r="Q35" i="20" s="1"/>
  <c r="Q107" i="20" s="1"/>
  <c r="L33" i="19"/>
  <c r="L35" i="19" s="1"/>
  <c r="L107" i="19" s="1"/>
  <c r="P33" i="21"/>
  <c r="L67" i="22"/>
  <c r="L33" i="17"/>
  <c r="L35" i="17" s="1"/>
  <c r="L107" i="17" s="1"/>
  <c r="R33" i="17"/>
  <c r="R35" i="17" s="1"/>
  <c r="R107" i="17" s="1"/>
  <c r="P33" i="18"/>
  <c r="L33" i="21"/>
  <c r="L35" i="21" s="1"/>
  <c r="L107" i="21" s="1"/>
  <c r="S33" i="20"/>
  <c r="S33" i="17"/>
  <c r="O33" i="21"/>
  <c r="O35" i="21" s="1"/>
  <c r="O107" i="21" s="1"/>
  <c r="W34" i="22"/>
  <c r="O33" i="17"/>
  <c r="O35" i="17" s="1"/>
  <c r="O107" i="17" s="1"/>
  <c r="S33" i="18"/>
  <c r="U33" i="13"/>
  <c r="U35" i="13" s="1"/>
  <c r="U107" i="13" s="1"/>
  <c r="O33" i="20"/>
  <c r="O35" i="20" s="1"/>
  <c r="O107" i="20" s="1"/>
  <c r="S33" i="19"/>
  <c r="N32" i="22"/>
  <c r="O33" i="18"/>
  <c r="O35" i="18" s="1"/>
  <c r="O107" i="18" s="1"/>
  <c r="O33" i="13"/>
  <c r="O35" i="13" s="1"/>
  <c r="O107" i="13" s="1"/>
  <c r="S33" i="13"/>
  <c r="O33" i="19"/>
  <c r="O35" i="19" s="1"/>
  <c r="O107" i="19" s="1"/>
  <c r="T33" i="19"/>
  <c r="T35" i="19" s="1"/>
  <c r="T107" i="19" s="1"/>
  <c r="T33" i="17"/>
  <c r="T35" i="17" s="1"/>
  <c r="T107" i="17" s="1"/>
  <c r="D67" i="22"/>
  <c r="W49" i="22"/>
  <c r="U56" i="22"/>
  <c r="U60" i="22" s="1"/>
  <c r="U67" i="22"/>
  <c r="N67" i="22"/>
  <c r="N56" i="22"/>
  <c r="T33" i="13"/>
  <c r="T35" i="13" s="1"/>
  <c r="T107" i="13" s="1"/>
  <c r="U33" i="21"/>
  <c r="U35" i="21" s="1"/>
  <c r="U107" i="21" s="1"/>
  <c r="G38" i="22"/>
  <c r="P56" i="22"/>
  <c r="P67" i="22"/>
  <c r="Q56" i="22"/>
  <c r="Q67" i="22"/>
  <c r="K56" i="22"/>
  <c r="K67" i="22"/>
  <c r="T33" i="18"/>
  <c r="T35" i="18" s="1"/>
  <c r="T107" i="18" s="1"/>
  <c r="U33" i="18"/>
  <c r="U35" i="18" s="1"/>
  <c r="U107" i="18" s="1"/>
  <c r="U33" i="20"/>
  <c r="U35" i="20" s="1"/>
  <c r="U107" i="20" s="1"/>
  <c r="T56" i="22"/>
  <c r="T60" i="22" s="1"/>
  <c r="T67" i="22"/>
  <c r="S56" i="22"/>
  <c r="S67" i="22"/>
  <c r="R56" i="22"/>
  <c r="R67" i="22"/>
  <c r="U33" i="17"/>
  <c r="U35" i="17" s="1"/>
  <c r="U107" i="17" s="1"/>
  <c r="T33" i="20"/>
  <c r="T35" i="20" s="1"/>
  <c r="T107" i="20" s="1"/>
  <c r="H67" i="22"/>
  <c r="F67" i="22"/>
  <c r="B9" i="22"/>
  <c r="B18" i="22" s="1"/>
  <c r="B36" i="22"/>
  <c r="T31" i="22"/>
  <c r="W29" i="22"/>
  <c r="X29" i="22"/>
  <c r="T37" i="22"/>
  <c r="E9" i="22"/>
  <c r="K38" i="22"/>
  <c r="K31" i="22"/>
  <c r="K32" i="22" s="1"/>
  <c r="L31" i="22"/>
  <c r="L32" i="22" s="1"/>
  <c r="L38" i="22"/>
  <c r="X30" i="22"/>
  <c r="W30" i="22"/>
  <c r="B31" i="22"/>
  <c r="U31" i="22"/>
  <c r="U37" i="22"/>
  <c r="M52" i="22"/>
  <c r="M60" i="22" s="1"/>
  <c r="E52" i="22"/>
  <c r="X34" i="22"/>
  <c r="P63" i="22"/>
  <c r="V31" i="22"/>
  <c r="V37" i="22"/>
  <c r="M31" i="22"/>
  <c r="M38" i="22"/>
  <c r="O31" i="22"/>
  <c r="O38" i="22"/>
  <c r="D56" i="22"/>
  <c r="O52" i="22"/>
  <c r="O60" i="22" s="1"/>
  <c r="C38" i="22"/>
  <c r="F38" i="22"/>
  <c r="F56" i="22"/>
  <c r="C9" i="22"/>
  <c r="C36" i="22"/>
  <c r="H14" i="22"/>
  <c r="H47" i="22"/>
  <c r="Q14" i="22"/>
  <c r="Q47" i="22"/>
  <c r="I9" i="22"/>
  <c r="I36" i="22"/>
  <c r="G9" i="22"/>
  <c r="G36" i="22"/>
  <c r="F9" i="22"/>
  <c r="F13" i="22" s="1"/>
  <c r="F36" i="22"/>
  <c r="H13" i="22"/>
  <c r="D38" i="22"/>
  <c r="D35" i="22"/>
  <c r="E38" i="22"/>
  <c r="E35" i="22"/>
  <c r="E36" i="22" s="1"/>
  <c r="I38" i="22"/>
  <c r="I31" i="22"/>
  <c r="J31" i="22"/>
  <c r="J38" i="22"/>
  <c r="H31" i="22"/>
  <c r="H32" i="22" s="1"/>
  <c r="H38" i="22"/>
  <c r="P31" i="22"/>
  <c r="P32" i="22" s="1"/>
  <c r="P38" i="22"/>
  <c r="F32" i="22"/>
  <c r="C32" i="22"/>
  <c r="G52" i="22"/>
  <c r="H56" i="22"/>
  <c r="R63" i="22"/>
  <c r="B38" i="22"/>
  <c r="O48" i="24"/>
  <c r="N31" i="24"/>
  <c r="B36" i="24"/>
  <c r="T21" i="19"/>
  <c r="T66" i="19" s="1"/>
  <c r="T21" i="17"/>
  <c r="T66" i="17" s="1"/>
  <c r="T6" i="22"/>
  <c r="T43" i="22" s="1"/>
  <c r="T21" i="21"/>
  <c r="T66" i="21" s="1"/>
  <c r="T21" i="18"/>
  <c r="T66" i="18" s="1"/>
  <c r="T21" i="13"/>
  <c r="T66" i="13" s="1"/>
  <c r="T21" i="20"/>
  <c r="T66" i="20" s="1"/>
  <c r="M21" i="19"/>
  <c r="M66" i="19" s="1"/>
  <c r="M6" i="22"/>
  <c r="M43" i="22" s="1"/>
  <c r="M21" i="21"/>
  <c r="M66" i="21" s="1"/>
  <c r="M21" i="18"/>
  <c r="M66" i="18" s="1"/>
  <c r="M21" i="13"/>
  <c r="M21" i="17"/>
  <c r="M66" i="17" s="1"/>
  <c r="M21" i="20"/>
  <c r="M66" i="20" s="1"/>
  <c r="B21" i="17"/>
  <c r="B21" i="19"/>
  <c r="B6" i="22"/>
  <c r="B21" i="21"/>
  <c r="B21" i="18"/>
  <c r="B21" i="13"/>
  <c r="B21" i="20"/>
  <c r="D6" i="22"/>
  <c r="D21" i="21"/>
  <c r="D66" i="21" s="1"/>
  <c r="D78" i="21" s="1"/>
  <c r="D21" i="18"/>
  <c r="D66" i="18" s="1"/>
  <c r="D78" i="18" s="1"/>
  <c r="D21" i="20"/>
  <c r="D66" i="20" s="1"/>
  <c r="D78" i="20" s="1"/>
  <c r="D21" i="17"/>
  <c r="D66" i="17" s="1"/>
  <c r="D78" i="17" s="1"/>
  <c r="D21" i="13"/>
  <c r="D66" i="13" s="1"/>
  <c r="D78" i="13" s="1"/>
  <c r="D21" i="19"/>
  <c r="D66" i="19" s="1"/>
  <c r="D78" i="19" s="1"/>
  <c r="B19" i="22"/>
  <c r="C19" i="22" s="1"/>
  <c r="D19" i="22" s="1"/>
  <c r="E19" i="22" s="1"/>
  <c r="F19" i="22" s="1"/>
  <c r="G19" i="22" s="1"/>
  <c r="H19" i="22" s="1"/>
  <c r="L6" i="22"/>
  <c r="L43" i="22" s="1"/>
  <c r="L21" i="21"/>
  <c r="L66" i="21" s="1"/>
  <c r="L21" i="18"/>
  <c r="L66" i="18" s="1"/>
  <c r="L21" i="20"/>
  <c r="L66" i="20" s="1"/>
  <c r="L21" i="17"/>
  <c r="L66" i="17" s="1"/>
  <c r="L21" i="19"/>
  <c r="L66" i="19" s="1"/>
  <c r="L21" i="13"/>
  <c r="F21" i="17"/>
  <c r="F66" i="17" s="1"/>
  <c r="F78" i="17" s="1"/>
  <c r="F21" i="19"/>
  <c r="F66" i="19" s="1"/>
  <c r="F78" i="19" s="1"/>
  <c r="F6" i="22"/>
  <c r="F43" i="22" s="1"/>
  <c r="F21" i="21"/>
  <c r="F66" i="21" s="1"/>
  <c r="F78" i="21" s="1"/>
  <c r="F21" i="18"/>
  <c r="F66" i="18" s="1"/>
  <c r="F78" i="18" s="1"/>
  <c r="F21" i="13"/>
  <c r="F66" i="13" s="1"/>
  <c r="F78" i="13" s="1"/>
  <c r="F21" i="20"/>
  <c r="F66" i="20" s="1"/>
  <c r="F78" i="20" s="1"/>
  <c r="G21" i="20"/>
  <c r="G66" i="20" s="1"/>
  <c r="G21" i="17"/>
  <c r="G66" i="17" s="1"/>
  <c r="G78" i="17" s="1"/>
  <c r="G21" i="19"/>
  <c r="G66" i="19" s="1"/>
  <c r="G21" i="13"/>
  <c r="G66" i="13" s="1"/>
  <c r="G6" i="22"/>
  <c r="G21" i="21"/>
  <c r="G66" i="21" s="1"/>
  <c r="G78" i="21" s="1"/>
  <c r="G21" i="18"/>
  <c r="G66" i="18" s="1"/>
  <c r="J21" i="17"/>
  <c r="J66" i="17" s="1"/>
  <c r="J21" i="19"/>
  <c r="J66" i="19" s="1"/>
  <c r="J6" i="22"/>
  <c r="J43" i="22" s="1"/>
  <c r="J21" i="21"/>
  <c r="J66" i="21" s="1"/>
  <c r="J21" i="18"/>
  <c r="J66" i="18" s="1"/>
  <c r="J21" i="13"/>
  <c r="J21" i="20"/>
  <c r="J66" i="20" s="1"/>
  <c r="E55" i="7"/>
  <c r="F14" i="22"/>
  <c r="K21" i="20"/>
  <c r="K66" i="20" s="1"/>
  <c r="K21" i="17"/>
  <c r="K66" i="17" s="1"/>
  <c r="K21" i="18"/>
  <c r="K66" i="18" s="1"/>
  <c r="K21" i="19"/>
  <c r="K66" i="19" s="1"/>
  <c r="K21" i="13"/>
  <c r="K66" i="13" s="1"/>
  <c r="K6" i="22"/>
  <c r="K21" i="21"/>
  <c r="K66" i="21" s="1"/>
  <c r="N21" i="19"/>
  <c r="N66" i="19" s="1"/>
  <c r="N6" i="22"/>
  <c r="N21" i="21"/>
  <c r="N66" i="21" s="1"/>
  <c r="N21" i="18"/>
  <c r="N66" i="18" s="1"/>
  <c r="N21" i="13"/>
  <c r="N66" i="13" s="1"/>
  <c r="N21" i="20"/>
  <c r="N66" i="20" s="1"/>
  <c r="N21" i="17"/>
  <c r="N66" i="17" s="1"/>
  <c r="C21" i="20"/>
  <c r="C66" i="20" s="1"/>
  <c r="C78" i="20" s="1"/>
  <c r="C21" i="17"/>
  <c r="C66" i="17" s="1"/>
  <c r="C78" i="17" s="1"/>
  <c r="C21" i="18"/>
  <c r="C66" i="18" s="1"/>
  <c r="C78" i="18" s="1"/>
  <c r="C21" i="13"/>
  <c r="C21" i="19"/>
  <c r="C66" i="19" s="1"/>
  <c r="C78" i="19" s="1"/>
  <c r="C6" i="22"/>
  <c r="C21" i="21"/>
  <c r="C66" i="21" s="1"/>
  <c r="C78" i="21" s="1"/>
  <c r="E21" i="19"/>
  <c r="E66" i="19" s="1"/>
  <c r="E78" i="19" s="1"/>
  <c r="E6" i="22"/>
  <c r="E21" i="21"/>
  <c r="E66" i="21" s="1"/>
  <c r="E78" i="21" s="1"/>
  <c r="E21" i="18"/>
  <c r="E66" i="18" s="1"/>
  <c r="E78" i="18" s="1"/>
  <c r="E21" i="13"/>
  <c r="E66" i="13" s="1"/>
  <c r="E78" i="13" s="1"/>
  <c r="E21" i="17"/>
  <c r="E66" i="17" s="1"/>
  <c r="E78" i="17" s="1"/>
  <c r="E21" i="20"/>
  <c r="E66" i="20" s="1"/>
  <c r="E78" i="20" s="1"/>
  <c r="O21" i="20"/>
  <c r="O66" i="20" s="1"/>
  <c r="O21" i="17"/>
  <c r="O66" i="17" s="1"/>
  <c r="O21" i="19"/>
  <c r="O66" i="19" s="1"/>
  <c r="O21" i="18"/>
  <c r="O66" i="18" s="1"/>
  <c r="O21" i="13"/>
  <c r="O6" i="22"/>
  <c r="O43" i="22" s="1"/>
  <c r="O21" i="21"/>
  <c r="O66" i="21" s="1"/>
  <c r="D33" i="18"/>
  <c r="G13" i="22"/>
  <c r="C13" i="22"/>
  <c r="D19" i="20"/>
  <c r="D19" i="21"/>
  <c r="D19" i="19"/>
  <c r="K19" i="20"/>
  <c r="K19" i="21"/>
  <c r="K19" i="19"/>
  <c r="I66" i="21"/>
  <c r="W50" i="21"/>
  <c r="X50" i="21"/>
  <c r="T13" i="19"/>
  <c r="X9" i="19"/>
  <c r="W9" i="19"/>
  <c r="B13" i="21"/>
  <c r="X4" i="21"/>
  <c r="M13" i="21"/>
  <c r="F48" i="20"/>
  <c r="F41" i="20"/>
  <c r="I66" i="20"/>
  <c r="W50" i="20"/>
  <c r="X50" i="20"/>
  <c r="O13" i="21"/>
  <c r="J13" i="20"/>
  <c r="X4" i="19"/>
  <c r="D13" i="19"/>
  <c r="B48" i="21"/>
  <c r="B41" i="21"/>
  <c r="C48" i="21"/>
  <c r="C41" i="21"/>
  <c r="G48" i="20"/>
  <c r="G41" i="20"/>
  <c r="V13" i="19"/>
  <c r="K13" i="21"/>
  <c r="L13" i="20"/>
  <c r="P13" i="21"/>
  <c r="X43" i="19"/>
  <c r="W43" i="19"/>
  <c r="F13" i="21"/>
  <c r="H13" i="21"/>
  <c r="G13" i="20"/>
  <c r="O5" i="13"/>
  <c r="O7" i="13" s="1"/>
  <c r="F33" i="13"/>
  <c r="F35" i="13" s="1"/>
  <c r="F107" i="13" s="1"/>
  <c r="H33" i="19"/>
  <c r="H35" i="19" s="1"/>
  <c r="H107" i="19" s="1"/>
  <c r="O5" i="21"/>
  <c r="O7" i="21" s="1"/>
  <c r="F33" i="21"/>
  <c r="F35" i="21" s="1"/>
  <c r="F107" i="21" s="1"/>
  <c r="M5" i="20"/>
  <c r="M7" i="20" s="1"/>
  <c r="E5" i="19"/>
  <c r="G5" i="19"/>
  <c r="G7" i="19" s="1"/>
  <c r="D32" i="21"/>
  <c r="D32" i="19"/>
  <c r="D32" i="20"/>
  <c r="F19" i="20"/>
  <c r="F19" i="21"/>
  <c r="F19" i="19"/>
  <c r="B13" i="19"/>
  <c r="W4" i="19"/>
  <c r="M13" i="20"/>
  <c r="E13" i="21"/>
  <c r="F48" i="21"/>
  <c r="F41" i="21"/>
  <c r="O13" i="19"/>
  <c r="J13" i="21"/>
  <c r="C13" i="20"/>
  <c r="B48" i="19"/>
  <c r="B41" i="19"/>
  <c r="C48" i="19"/>
  <c r="C41" i="19"/>
  <c r="G41" i="21"/>
  <c r="G48" i="21"/>
  <c r="E48" i="20"/>
  <c r="E41" i="20"/>
  <c r="K13" i="19"/>
  <c r="L13" i="21"/>
  <c r="I13" i="21"/>
  <c r="P13" i="19"/>
  <c r="I66" i="19"/>
  <c r="W50" i="19"/>
  <c r="X50" i="19"/>
  <c r="U13" i="20"/>
  <c r="H13" i="19"/>
  <c r="G13" i="21"/>
  <c r="M5" i="13"/>
  <c r="M7" i="13" s="1"/>
  <c r="O5" i="19"/>
  <c r="O7" i="19" s="1"/>
  <c r="F33" i="19"/>
  <c r="F35" i="19" s="1"/>
  <c r="F107" i="19" s="1"/>
  <c r="M5" i="19"/>
  <c r="M7" i="19" s="1"/>
  <c r="D33" i="20"/>
  <c r="L19" i="20"/>
  <c r="L19" i="21"/>
  <c r="L19" i="19"/>
  <c r="G19" i="20"/>
  <c r="G19" i="21"/>
  <c r="G19" i="19"/>
  <c r="R19" i="20"/>
  <c r="R19" i="19"/>
  <c r="R19" i="21"/>
  <c r="H19" i="20"/>
  <c r="H19" i="21"/>
  <c r="H19" i="19"/>
  <c r="Q19" i="21"/>
  <c r="Q19" i="20"/>
  <c r="Q19" i="19"/>
  <c r="M32" i="20"/>
  <c r="M32" i="21"/>
  <c r="M32" i="19"/>
  <c r="J50" i="3"/>
  <c r="K50" i="3" s="1"/>
  <c r="L50" i="3" s="1"/>
  <c r="M50" i="3" s="1"/>
  <c r="N50" i="3" s="1"/>
  <c r="O50" i="3" s="1"/>
  <c r="P50" i="3" s="1"/>
  <c r="Q50" i="3" s="1"/>
  <c r="R50" i="3" s="1"/>
  <c r="S50" i="3" s="1"/>
  <c r="T50" i="3" s="1"/>
  <c r="U50" i="3" s="1"/>
  <c r="V50" i="3" s="1"/>
  <c r="W50" i="3" s="1"/>
  <c r="X43" i="21"/>
  <c r="W43" i="21"/>
  <c r="T13" i="21"/>
  <c r="X9" i="21"/>
  <c r="W9" i="21"/>
  <c r="M13" i="19"/>
  <c r="E13" i="20"/>
  <c r="F48" i="19"/>
  <c r="F41" i="19"/>
  <c r="W43" i="20"/>
  <c r="X43" i="20"/>
  <c r="J13" i="19"/>
  <c r="W4" i="21"/>
  <c r="C13" i="21"/>
  <c r="D13" i="20"/>
  <c r="G41" i="19"/>
  <c r="G48" i="19"/>
  <c r="E41" i="19"/>
  <c r="E48" i="19"/>
  <c r="V13" i="20"/>
  <c r="L13" i="19"/>
  <c r="I13" i="20"/>
  <c r="U13" i="21"/>
  <c r="F13" i="20"/>
  <c r="G13" i="19"/>
  <c r="E5" i="13"/>
  <c r="E7" i="13" s="1"/>
  <c r="H33" i="20"/>
  <c r="H35" i="20" s="1"/>
  <c r="H107" i="20" s="1"/>
  <c r="M5" i="21"/>
  <c r="M7" i="21" s="1"/>
  <c r="D33" i="21"/>
  <c r="E5" i="20"/>
  <c r="E7" i="20" s="1"/>
  <c r="G5" i="20"/>
  <c r="G7" i="20" s="1"/>
  <c r="S32" i="20"/>
  <c r="S32" i="21"/>
  <c r="S32" i="19"/>
  <c r="J32" i="20"/>
  <c r="J32" i="21"/>
  <c r="J32" i="19"/>
  <c r="P32" i="21"/>
  <c r="P32" i="19"/>
  <c r="P32" i="20"/>
  <c r="P19" i="20"/>
  <c r="P19" i="21"/>
  <c r="P19" i="19"/>
  <c r="N19" i="20"/>
  <c r="N19" i="19"/>
  <c r="N19" i="21"/>
  <c r="C19" i="20"/>
  <c r="C19" i="21"/>
  <c r="C19" i="19"/>
  <c r="T13" i="20"/>
  <c r="W9" i="20"/>
  <c r="X9" i="20"/>
  <c r="B13" i="20"/>
  <c r="X4" i="20"/>
  <c r="W4" i="20"/>
  <c r="E7" i="19"/>
  <c r="E13" i="19"/>
  <c r="O13" i="20"/>
  <c r="C13" i="19"/>
  <c r="D13" i="21"/>
  <c r="B41" i="20"/>
  <c r="B48" i="20"/>
  <c r="C41" i="20"/>
  <c r="C48" i="20"/>
  <c r="E48" i="21"/>
  <c r="E41" i="21"/>
  <c r="V13" i="21"/>
  <c r="K13" i="20"/>
  <c r="I13" i="19"/>
  <c r="P13" i="20"/>
  <c r="U13" i="19"/>
  <c r="F13" i="19"/>
  <c r="H13" i="20"/>
  <c r="H33" i="18"/>
  <c r="H35" i="18" s="1"/>
  <c r="H107" i="18" s="1"/>
  <c r="M5" i="17"/>
  <c r="M7" i="17" s="1"/>
  <c r="H33" i="21"/>
  <c r="H35" i="21" s="1"/>
  <c r="H107" i="21" s="1"/>
  <c r="O5" i="20"/>
  <c r="O7" i="20" s="1"/>
  <c r="F33" i="20"/>
  <c r="F35" i="20" s="1"/>
  <c r="F107" i="20" s="1"/>
  <c r="D33" i="19"/>
  <c r="E5" i="21"/>
  <c r="E7" i="21" s="1"/>
  <c r="G5" i="21"/>
  <c r="G7" i="21" s="1"/>
  <c r="E55" i="20"/>
  <c r="G74" i="20"/>
  <c r="H2" i="20"/>
  <c r="F55" i="21"/>
  <c r="H74" i="21"/>
  <c r="I2" i="21"/>
  <c r="G74" i="19"/>
  <c r="H2" i="19"/>
  <c r="E55" i="19"/>
  <c r="D61" i="19" s="1"/>
  <c r="K19" i="17"/>
  <c r="K19" i="18"/>
  <c r="P19" i="18"/>
  <c r="P19" i="17"/>
  <c r="E48" i="18"/>
  <c r="E41" i="18"/>
  <c r="V13" i="18"/>
  <c r="D13" i="18"/>
  <c r="G13" i="17"/>
  <c r="T13" i="18"/>
  <c r="W9" i="18"/>
  <c r="X9" i="18"/>
  <c r="J13" i="18"/>
  <c r="D19" i="18"/>
  <c r="D19" i="17"/>
  <c r="E48" i="17"/>
  <c r="E41" i="17"/>
  <c r="K13" i="17"/>
  <c r="I13" i="18"/>
  <c r="F35" i="18"/>
  <c r="F107" i="18" s="1"/>
  <c r="F41" i="18"/>
  <c r="F48" i="18"/>
  <c r="I66" i="17"/>
  <c r="W50" i="17"/>
  <c r="X50" i="17"/>
  <c r="D13" i="17"/>
  <c r="F13" i="17"/>
  <c r="G7" i="18"/>
  <c r="G13" i="18"/>
  <c r="P13" i="17"/>
  <c r="T13" i="17"/>
  <c r="X9" i="17"/>
  <c r="W9" i="17"/>
  <c r="M13" i="17"/>
  <c r="W4" i="17"/>
  <c r="C13" i="17"/>
  <c r="X43" i="18"/>
  <c r="W43" i="18"/>
  <c r="J13" i="17"/>
  <c r="G5" i="17"/>
  <c r="G7" i="17" s="1"/>
  <c r="G5" i="13"/>
  <c r="G7" i="13" s="1"/>
  <c r="D33" i="13"/>
  <c r="H33" i="13"/>
  <c r="H35" i="13" s="1"/>
  <c r="H107" i="13" s="1"/>
  <c r="O5" i="18"/>
  <c r="H19" i="18"/>
  <c r="H19" i="17"/>
  <c r="S32" i="18"/>
  <c r="S32" i="17"/>
  <c r="L13" i="17"/>
  <c r="X43" i="17"/>
  <c r="W43" i="17"/>
  <c r="F13" i="18"/>
  <c r="P13" i="18"/>
  <c r="M7" i="18"/>
  <c r="M13" i="18"/>
  <c r="G48" i="17"/>
  <c r="G41" i="17"/>
  <c r="L19" i="18"/>
  <c r="L19" i="17"/>
  <c r="D32" i="18"/>
  <c r="D32" i="17"/>
  <c r="F19" i="17"/>
  <c r="F19" i="18"/>
  <c r="C19" i="17"/>
  <c r="C19" i="18"/>
  <c r="K13" i="18"/>
  <c r="I13" i="17"/>
  <c r="F48" i="17"/>
  <c r="F41" i="17"/>
  <c r="O7" i="17"/>
  <c r="O13" i="17"/>
  <c r="B48" i="18"/>
  <c r="B41" i="18"/>
  <c r="U13" i="17"/>
  <c r="H13" i="18"/>
  <c r="C41" i="17"/>
  <c r="C48" i="17"/>
  <c r="X4" i="18"/>
  <c r="B13" i="18"/>
  <c r="W4" i="18"/>
  <c r="E13" i="18"/>
  <c r="C13" i="18"/>
  <c r="I66" i="18"/>
  <c r="X50" i="18"/>
  <c r="W50" i="18"/>
  <c r="F33" i="17"/>
  <c r="F35" i="17" s="1"/>
  <c r="F107" i="17" s="1"/>
  <c r="E5" i="18"/>
  <c r="E7" i="18" s="1"/>
  <c r="Q19" i="18"/>
  <c r="Q19" i="17"/>
  <c r="J32" i="18"/>
  <c r="J32" i="17"/>
  <c r="P32" i="18"/>
  <c r="P32" i="17"/>
  <c r="G19" i="17"/>
  <c r="G19" i="18"/>
  <c r="R19" i="17"/>
  <c r="R19" i="18"/>
  <c r="M32" i="18"/>
  <c r="M32" i="17"/>
  <c r="N19" i="18"/>
  <c r="N19" i="17"/>
  <c r="V13" i="17"/>
  <c r="L13" i="18"/>
  <c r="O7" i="18"/>
  <c r="O13" i="18"/>
  <c r="B48" i="17"/>
  <c r="B41" i="17"/>
  <c r="U13" i="18"/>
  <c r="H13" i="17"/>
  <c r="C48" i="18"/>
  <c r="C41" i="18"/>
  <c r="X4" i="17"/>
  <c r="B13" i="17"/>
  <c r="E7" i="17"/>
  <c r="E13" i="17"/>
  <c r="G48" i="18"/>
  <c r="G41" i="18"/>
  <c r="E55" i="18"/>
  <c r="G74" i="18"/>
  <c r="H2" i="18"/>
  <c r="E55" i="17"/>
  <c r="D61" i="17" s="1"/>
  <c r="H74" i="17"/>
  <c r="I2" i="17"/>
  <c r="C61" i="17"/>
  <c r="C19" i="13"/>
  <c r="H18" i="12"/>
  <c r="H63" i="12" s="1"/>
  <c r="H19" i="13"/>
  <c r="Q19" i="13"/>
  <c r="N49" i="12"/>
  <c r="Q49" i="12"/>
  <c r="Q65" i="12" s="1"/>
  <c r="Q66" i="13"/>
  <c r="F34" i="2"/>
  <c r="S5" i="5"/>
  <c r="S5" i="13" s="1"/>
  <c r="S7" i="13" s="1"/>
  <c r="Q5" i="5"/>
  <c r="Q5" i="18" s="1"/>
  <c r="Q7" i="18" s="1"/>
  <c r="D5" i="5"/>
  <c r="D19" i="13"/>
  <c r="K19" i="13"/>
  <c r="H49" i="12"/>
  <c r="H65" i="12" s="1"/>
  <c r="H66" i="13"/>
  <c r="C49" i="12"/>
  <c r="T49" i="12"/>
  <c r="D47" i="2"/>
  <c r="D49" i="2" s="1"/>
  <c r="D32" i="13"/>
  <c r="D48" i="13" s="1"/>
  <c r="F18" i="12"/>
  <c r="F19" i="13"/>
  <c r="K5" i="5"/>
  <c r="K5" i="17" s="1"/>
  <c r="K7" i="17" s="1"/>
  <c r="J5" i="5"/>
  <c r="J5" i="13" s="1"/>
  <c r="J7" i="13" s="1"/>
  <c r="I5" i="5"/>
  <c r="I5" i="18" s="1"/>
  <c r="I7" i="18" s="1"/>
  <c r="P5" i="5"/>
  <c r="P5" i="17" s="1"/>
  <c r="P7" i="17" s="1"/>
  <c r="E16" i="5"/>
  <c r="E33" i="13" s="1"/>
  <c r="E35" i="13" s="1"/>
  <c r="E107" i="13" s="1"/>
  <c r="L13" i="13"/>
  <c r="P13" i="13"/>
  <c r="G41" i="13"/>
  <c r="E13" i="13"/>
  <c r="G18" i="12"/>
  <c r="G19" i="13"/>
  <c r="R5" i="5"/>
  <c r="R5" i="13" s="1"/>
  <c r="R7" i="13" s="1"/>
  <c r="G16" i="5"/>
  <c r="G33" i="17" s="1"/>
  <c r="G35" i="17" s="1"/>
  <c r="G107" i="17" s="1"/>
  <c r="F41" i="13"/>
  <c r="L18" i="12"/>
  <c r="L19" i="13"/>
  <c r="G49" i="12"/>
  <c r="F49" i="12"/>
  <c r="M47" i="2"/>
  <c r="M49" i="2" s="1"/>
  <c r="M32" i="13"/>
  <c r="M48" i="13" s="1"/>
  <c r="C47" i="12"/>
  <c r="C5" i="5"/>
  <c r="C5" i="17" s="1"/>
  <c r="C7" i="17" s="1"/>
  <c r="B16" i="5"/>
  <c r="B33" i="18" s="1"/>
  <c r="J16" i="5"/>
  <c r="J33" i="13" s="1"/>
  <c r="H5" i="5"/>
  <c r="H52" i="22" s="1"/>
  <c r="N5" i="5"/>
  <c r="N5" i="13" s="1"/>
  <c r="N7" i="13" s="1"/>
  <c r="N19" i="13"/>
  <c r="V13" i="13"/>
  <c r="K13" i="13"/>
  <c r="I13" i="13"/>
  <c r="D13" i="13"/>
  <c r="H13" i="13"/>
  <c r="G13" i="13"/>
  <c r="C41" i="13"/>
  <c r="J13" i="13"/>
  <c r="B41" i="13"/>
  <c r="T13" i="13"/>
  <c r="W9" i="13"/>
  <c r="X9" i="13"/>
  <c r="X4" i="13"/>
  <c r="B13" i="13"/>
  <c r="W4" i="13"/>
  <c r="M13" i="13"/>
  <c r="R19" i="13"/>
  <c r="S32" i="13"/>
  <c r="S48" i="13" s="1"/>
  <c r="J32" i="13"/>
  <c r="P47" i="2"/>
  <c r="P49" i="2" s="1"/>
  <c r="P32" i="13"/>
  <c r="P48" i="13" s="1"/>
  <c r="P19" i="13"/>
  <c r="G34" i="2"/>
  <c r="C16" i="5"/>
  <c r="C33" i="18" s="1"/>
  <c r="C35" i="18" s="1"/>
  <c r="C107" i="18" s="1"/>
  <c r="B5" i="5"/>
  <c r="B52" i="22" s="1"/>
  <c r="I16" i="5"/>
  <c r="I33" i="13" s="1"/>
  <c r="F5" i="5"/>
  <c r="F5" i="17" s="1"/>
  <c r="F7" i="17" s="1"/>
  <c r="L5" i="5"/>
  <c r="L5" i="17" s="1"/>
  <c r="L7" i="17" s="1"/>
  <c r="E41" i="13"/>
  <c r="O13" i="13"/>
  <c r="U13" i="13"/>
  <c r="F13" i="13"/>
  <c r="X43" i="13"/>
  <c r="W43" i="13"/>
  <c r="C13" i="13"/>
  <c r="G74" i="13"/>
  <c r="H2" i="13"/>
  <c r="J31" i="12"/>
  <c r="J40" i="12" s="1"/>
  <c r="J47" i="2"/>
  <c r="J49" i="2" s="1"/>
  <c r="S31" i="12"/>
  <c r="S40" i="12" s="1"/>
  <c r="S47" i="2"/>
  <c r="S49" i="2" s="1"/>
  <c r="B49" i="2"/>
  <c r="N18" i="12"/>
  <c r="E37" i="7"/>
  <c r="E10" i="7"/>
  <c r="E21" i="7"/>
  <c r="B20" i="12"/>
  <c r="B25" i="12" s="1"/>
  <c r="D15" i="3"/>
  <c r="D20" i="12"/>
  <c r="C15" i="3"/>
  <c r="C20" i="12"/>
  <c r="K15" i="3"/>
  <c r="K20" i="12"/>
  <c r="N20" i="12"/>
  <c r="G20" i="12"/>
  <c r="O20" i="12"/>
  <c r="T20" i="12"/>
  <c r="E15" i="3"/>
  <c r="E20" i="12"/>
  <c r="M15" i="3"/>
  <c r="M20" i="12"/>
  <c r="L15" i="3"/>
  <c r="L20" i="12"/>
  <c r="J20" i="12"/>
  <c r="G15" i="3"/>
  <c r="F15" i="3"/>
  <c r="F20" i="12"/>
  <c r="B49" i="12"/>
  <c r="Q18" i="12"/>
  <c r="R18" i="12"/>
  <c r="V12" i="12"/>
  <c r="U12" i="12"/>
  <c r="U40" i="12"/>
  <c r="Q34" i="3"/>
  <c r="V40" i="12"/>
  <c r="S38" i="12"/>
  <c r="V31" i="3"/>
  <c r="V32" i="3" s="1"/>
  <c r="V10" i="22" s="1"/>
  <c r="V47" i="22" s="1"/>
  <c r="M31" i="3"/>
  <c r="M32" i="3" s="1"/>
  <c r="M10" i="22" s="1"/>
  <c r="V11" i="3"/>
  <c r="S10" i="12"/>
  <c r="J38" i="12"/>
  <c r="P38" i="12"/>
  <c r="P42" i="12" s="1"/>
  <c r="B40" i="12"/>
  <c r="G12" i="12"/>
  <c r="E40" i="12"/>
  <c r="N12" i="12"/>
  <c r="O40" i="12"/>
  <c r="L42" i="12"/>
  <c r="E12" i="12"/>
  <c r="B33" i="2"/>
  <c r="C33" i="2" s="1"/>
  <c r="B47" i="12"/>
  <c r="S33" i="12"/>
  <c r="B3" i="12"/>
  <c r="P18" i="12"/>
  <c r="D18" i="12"/>
  <c r="E47" i="12"/>
  <c r="M33" i="12"/>
  <c r="K12" i="12"/>
  <c r="I12" i="12"/>
  <c r="J12" i="12"/>
  <c r="E49" i="12"/>
  <c r="M36" i="12"/>
  <c r="F47" i="12"/>
  <c r="G47" i="12"/>
  <c r="O42" i="12"/>
  <c r="M12" i="12"/>
  <c r="D31" i="12"/>
  <c r="K18" i="12"/>
  <c r="D49" i="12"/>
  <c r="K49" i="12"/>
  <c r="J33" i="12"/>
  <c r="S5" i="12"/>
  <c r="O3" i="12"/>
  <c r="P31" i="12"/>
  <c r="C18" i="12"/>
  <c r="I47" i="12"/>
  <c r="M31" i="12"/>
  <c r="B8" i="2"/>
  <c r="B13" i="2" s="1"/>
  <c r="B5" i="22" s="1"/>
  <c r="B32" i="22" s="1"/>
  <c r="K40" i="12"/>
  <c r="I42" i="12"/>
  <c r="I34" i="2"/>
  <c r="S31" i="2"/>
  <c r="S32" i="2" s="1"/>
  <c r="M31" i="2"/>
  <c r="M32" i="2" s="1"/>
  <c r="K34" i="3"/>
  <c r="J31" i="2"/>
  <c r="J32" i="2" s="1"/>
  <c r="O8" i="2"/>
  <c r="O13" i="2" s="1"/>
  <c r="O5" i="22" s="1"/>
  <c r="V12" i="2"/>
  <c r="V13" i="2" s="1"/>
  <c r="V5" i="22" s="1"/>
  <c r="U12" i="3"/>
  <c r="U13" i="3" s="1"/>
  <c r="C34" i="2"/>
  <c r="G38" i="3"/>
  <c r="F34" i="3"/>
  <c r="L31" i="2"/>
  <c r="L32" i="2" s="1"/>
  <c r="G38" i="2"/>
  <c r="N34" i="3"/>
  <c r="R31" i="3"/>
  <c r="R32" i="3" s="1"/>
  <c r="R10" i="22" s="1"/>
  <c r="R47" i="22" s="1"/>
  <c r="K31" i="2"/>
  <c r="K32" i="2" s="1"/>
  <c r="S12" i="2"/>
  <c r="P31" i="2"/>
  <c r="P32" i="2" s="1"/>
  <c r="T31" i="2"/>
  <c r="T32" i="2" s="1"/>
  <c r="I8" i="2"/>
  <c r="I13" i="2" s="1"/>
  <c r="I5" i="22" s="1"/>
  <c r="I31" i="3"/>
  <c r="I32" i="3" s="1"/>
  <c r="I10" i="22" s="1"/>
  <c r="R31" i="2"/>
  <c r="R32" i="2" s="1"/>
  <c r="V31" i="2"/>
  <c r="V32" i="2" s="1"/>
  <c r="V36" i="22" s="1"/>
  <c r="D27" i="2"/>
  <c r="W27" i="2" s="1"/>
  <c r="O31" i="3"/>
  <c r="O32" i="3" s="1"/>
  <c r="O10" i="22" s="1"/>
  <c r="P31" i="3"/>
  <c r="P32" i="3" s="1"/>
  <c r="P10" i="22" s="1"/>
  <c r="U31" i="3"/>
  <c r="U32" i="3" s="1"/>
  <c r="U10" i="22" s="1"/>
  <c r="U47" i="22" s="1"/>
  <c r="N31" i="2"/>
  <c r="N32" i="2" s="1"/>
  <c r="O31" i="2"/>
  <c r="O32" i="2" s="1"/>
  <c r="T12" i="2"/>
  <c r="T13" i="2" s="1"/>
  <c r="T5" i="22" s="1"/>
  <c r="J8" i="2"/>
  <c r="J13" i="2" s="1"/>
  <c r="J5" i="22" s="1"/>
  <c r="Q31" i="2"/>
  <c r="Q32" i="2" s="1"/>
  <c r="U31" i="2"/>
  <c r="U32" i="2" s="1"/>
  <c r="E8" i="2"/>
  <c r="E13" i="2" s="1"/>
  <c r="E5" i="22" s="1"/>
  <c r="U12" i="2"/>
  <c r="U13" i="2" s="1"/>
  <c r="U5" i="22" s="1"/>
  <c r="M8" i="2"/>
  <c r="M13" i="2" s="1"/>
  <c r="M5" i="22" s="1"/>
  <c r="B34" i="2"/>
  <c r="B35" i="2" s="1"/>
  <c r="Q38" i="3"/>
  <c r="T38" i="3"/>
  <c r="H38" i="2"/>
  <c r="F38" i="2"/>
  <c r="H34" i="3"/>
  <c r="C34" i="3"/>
  <c r="R12" i="3"/>
  <c r="R13" i="3" s="1"/>
  <c r="R6" i="22" s="1"/>
  <c r="R43" i="22" s="1"/>
  <c r="L31" i="3"/>
  <c r="L32" i="3" s="1"/>
  <c r="L10" i="22" s="1"/>
  <c r="W29" i="2"/>
  <c r="H45" i="7"/>
  <c r="H41" i="7"/>
  <c r="C41" i="7"/>
  <c r="C38" i="7"/>
  <c r="E38" i="7" s="1"/>
  <c r="C39" i="7" s="1"/>
  <c r="E51" i="7"/>
  <c r="B69" i="8"/>
  <c r="B67" i="8"/>
  <c r="B70" i="8" s="1"/>
  <c r="B71" i="8" s="1"/>
  <c r="W30" i="2"/>
  <c r="W24" i="2"/>
  <c r="E53" i="7"/>
  <c r="W29" i="3"/>
  <c r="W47" i="3" s="1"/>
  <c r="X47" i="3" s="1"/>
  <c r="X27" i="3"/>
  <c r="F38" i="3"/>
  <c r="W27" i="3"/>
  <c r="G34" i="3"/>
  <c r="N38" i="3"/>
  <c r="K38" i="3"/>
  <c r="H38" i="3"/>
  <c r="T34" i="3"/>
  <c r="C38" i="3"/>
  <c r="B38" i="3"/>
  <c r="B34" i="3"/>
  <c r="B33" i="3"/>
  <c r="B15" i="3"/>
  <c r="B14" i="3"/>
  <c r="E34" i="3"/>
  <c r="E38" i="3"/>
  <c r="D38" i="3"/>
  <c r="D34" i="3"/>
  <c r="C38" i="2"/>
  <c r="E34" i="2"/>
  <c r="B63" i="8"/>
  <c r="B64" i="8" s="1"/>
  <c r="O32" i="22" l="1"/>
  <c r="D49" i="24"/>
  <c r="D50" i="24" s="1"/>
  <c r="E50" i="24" s="1"/>
  <c r="F50" i="24" s="1"/>
  <c r="G50" i="24" s="1"/>
  <c r="H50" i="24" s="1"/>
  <c r="I50" i="24" s="1"/>
  <c r="J50" i="24" s="1"/>
  <c r="K50" i="24" s="1"/>
  <c r="L50" i="24" s="1"/>
  <c r="M50" i="24" s="1"/>
  <c r="N50" i="24" s="1"/>
  <c r="X47" i="24"/>
  <c r="E38" i="24"/>
  <c r="E39" i="24" s="1"/>
  <c r="E34" i="24"/>
  <c r="D33" i="24"/>
  <c r="E33" i="24" s="1"/>
  <c r="F33" i="24" s="1"/>
  <c r="G33" i="24" s="1"/>
  <c r="H33" i="24" s="1"/>
  <c r="I33" i="24" s="1"/>
  <c r="J33" i="24" s="1"/>
  <c r="K33" i="24" s="1"/>
  <c r="L33" i="24" s="1"/>
  <c r="M33" i="24" s="1"/>
  <c r="T14" i="22"/>
  <c r="D32" i="24"/>
  <c r="X27" i="24"/>
  <c r="W27" i="24"/>
  <c r="X18" i="24"/>
  <c r="B38" i="24"/>
  <c r="B39" i="24" s="1"/>
  <c r="B40" i="24" s="1"/>
  <c r="C40" i="24" s="1"/>
  <c r="B41" i="24" s="1"/>
  <c r="B15" i="24"/>
  <c r="B16" i="24" s="1"/>
  <c r="C16" i="24" s="1"/>
  <c r="B17" i="24" s="1"/>
  <c r="B14" i="24"/>
  <c r="C14" i="24" s="1"/>
  <c r="D14" i="24" s="1"/>
  <c r="E14" i="24" s="1"/>
  <c r="F14" i="24" s="1"/>
  <c r="G14" i="24" s="1"/>
  <c r="H14" i="24" s="1"/>
  <c r="I14" i="24" s="1"/>
  <c r="J14" i="24" s="1"/>
  <c r="K14" i="24" s="1"/>
  <c r="L14" i="24" s="1"/>
  <c r="M14" i="24" s="1"/>
  <c r="N14" i="24" s="1"/>
  <c r="O14" i="24" s="1"/>
  <c r="P14" i="24" s="1"/>
  <c r="Q14" i="24" s="1"/>
  <c r="R14" i="24" s="1"/>
  <c r="S14" i="24" s="1"/>
  <c r="T14" i="24" s="1"/>
  <c r="U14" i="24" s="1"/>
  <c r="V14" i="24" s="1"/>
  <c r="I32" i="22"/>
  <c r="M32" i="22"/>
  <c r="W35" i="22"/>
  <c r="V32" i="22"/>
  <c r="T38" i="24"/>
  <c r="T39" i="24" s="1"/>
  <c r="T15" i="24"/>
  <c r="W15" i="24" s="1"/>
  <c r="X16" i="24"/>
  <c r="W13" i="24"/>
  <c r="T32" i="22"/>
  <c r="J32" i="22"/>
  <c r="C65" i="12"/>
  <c r="P71" i="22"/>
  <c r="R71" i="22"/>
  <c r="Q52" i="22"/>
  <c r="Q60" i="22" s="1"/>
  <c r="C18" i="22"/>
  <c r="I67" i="22"/>
  <c r="E67" i="22"/>
  <c r="L52" i="22"/>
  <c r="L60" i="22" s="1"/>
  <c r="B56" i="22"/>
  <c r="B60" i="22" s="1"/>
  <c r="X37" i="22"/>
  <c r="G67" i="22"/>
  <c r="C67" i="22"/>
  <c r="X35" i="22"/>
  <c r="Y35" i="22" s="1"/>
  <c r="J67" i="22"/>
  <c r="B67" i="22"/>
  <c r="L9" i="22"/>
  <c r="L13" i="22" s="1"/>
  <c r="L36" i="22"/>
  <c r="X38" i="22"/>
  <c r="W38" i="22"/>
  <c r="L14" i="22"/>
  <c r="L47" i="22"/>
  <c r="U9" i="22"/>
  <c r="U13" i="22" s="1"/>
  <c r="U36" i="22"/>
  <c r="O9" i="22"/>
  <c r="O13" i="22" s="1"/>
  <c r="O36" i="22"/>
  <c r="O14" i="22"/>
  <c r="O47" i="22"/>
  <c r="I14" i="22"/>
  <c r="I47" i="22"/>
  <c r="J9" i="22"/>
  <c r="J13" i="22" s="1"/>
  <c r="J36" i="22"/>
  <c r="N14" i="22"/>
  <c r="N43" i="22"/>
  <c r="G14" i="22"/>
  <c r="G43" i="22"/>
  <c r="E56" i="22"/>
  <c r="E60" i="22" s="1"/>
  <c r="C63" i="22"/>
  <c r="V63" i="22"/>
  <c r="V71" i="22" s="1"/>
  <c r="Q63" i="22"/>
  <c r="Q71" i="22" s="1"/>
  <c r="R52" i="22"/>
  <c r="R60" i="22" s="1"/>
  <c r="C56" i="22"/>
  <c r="J56" i="22"/>
  <c r="T63" i="22"/>
  <c r="T71" i="22" s="1"/>
  <c r="N9" i="22"/>
  <c r="N13" i="22" s="1"/>
  <c r="N36" i="22"/>
  <c r="K9" i="22"/>
  <c r="K13" i="22" s="1"/>
  <c r="K36" i="22"/>
  <c r="M14" i="22"/>
  <c r="M47" i="22"/>
  <c r="K14" i="22"/>
  <c r="K43" i="22"/>
  <c r="B14" i="22"/>
  <c r="B43" i="22"/>
  <c r="H60" i="22"/>
  <c r="G56" i="22"/>
  <c r="G60" i="22" s="1"/>
  <c r="I56" i="22"/>
  <c r="K52" i="22"/>
  <c r="K60" i="22" s="1"/>
  <c r="W37" i="22"/>
  <c r="U63" i="22"/>
  <c r="U71" i="22" s="1"/>
  <c r="Q9" i="22"/>
  <c r="Q13" i="22" s="1"/>
  <c r="Q36" i="22"/>
  <c r="D5" i="17"/>
  <c r="D7" i="17" s="1"/>
  <c r="O63" i="22"/>
  <c r="O71" i="22" s="1"/>
  <c r="C14" i="22"/>
  <c r="C43" i="22"/>
  <c r="E13" i="22"/>
  <c r="E32" i="22"/>
  <c r="P14" i="22"/>
  <c r="P47" i="22"/>
  <c r="R9" i="22"/>
  <c r="R13" i="22" s="1"/>
  <c r="R36" i="22"/>
  <c r="P9" i="22"/>
  <c r="P36" i="22"/>
  <c r="S9" i="22"/>
  <c r="S36" i="22"/>
  <c r="T9" i="22"/>
  <c r="T36" i="22"/>
  <c r="M9" i="22"/>
  <c r="M13" i="22" s="1"/>
  <c r="M36" i="22"/>
  <c r="V40" i="22"/>
  <c r="B5" i="13"/>
  <c r="B7" i="13" s="1"/>
  <c r="B63" i="22"/>
  <c r="H5" i="17"/>
  <c r="H7" i="17" s="1"/>
  <c r="E14" i="22"/>
  <c r="E43" i="22"/>
  <c r="D14" i="22"/>
  <c r="D43" i="22"/>
  <c r="W31" i="22"/>
  <c r="X31" i="22"/>
  <c r="Y31" i="22" s="1"/>
  <c r="U32" i="22"/>
  <c r="N63" i="22"/>
  <c r="N71" i="22" s="1"/>
  <c r="D52" i="22"/>
  <c r="D60" i="22" s="1"/>
  <c r="F52" i="22"/>
  <c r="F60" i="22" s="1"/>
  <c r="I52" i="22"/>
  <c r="S52" i="22"/>
  <c r="S60" i="22" s="1"/>
  <c r="S63" i="22"/>
  <c r="S71" i="22" s="1"/>
  <c r="J52" i="22"/>
  <c r="C52" i="22"/>
  <c r="P52" i="22"/>
  <c r="P60" i="22" s="1"/>
  <c r="N52" i="22"/>
  <c r="N60" i="22" s="1"/>
  <c r="G65" i="12"/>
  <c r="O49" i="24"/>
  <c r="X48" i="24"/>
  <c r="N32" i="24"/>
  <c r="W31" i="24"/>
  <c r="X31" i="24"/>
  <c r="D16" i="24"/>
  <c r="C17" i="24" s="1"/>
  <c r="W32" i="20"/>
  <c r="B26" i="20"/>
  <c r="C26" i="20" s="1"/>
  <c r="D26" i="20" s="1"/>
  <c r="E26" i="20" s="1"/>
  <c r="F26" i="20" s="1"/>
  <c r="G26" i="20" s="1"/>
  <c r="H26" i="20" s="1"/>
  <c r="I26" i="20" s="1"/>
  <c r="J26" i="20" s="1"/>
  <c r="K26" i="20" s="1"/>
  <c r="L26" i="20" s="1"/>
  <c r="M26" i="20" s="1"/>
  <c r="N26" i="20" s="1"/>
  <c r="O26" i="20" s="1"/>
  <c r="P26" i="20" s="1"/>
  <c r="Q26" i="20" s="1"/>
  <c r="B66" i="20"/>
  <c r="B78" i="20" s="1"/>
  <c r="B83" i="20" s="1"/>
  <c r="C83" i="20" s="1"/>
  <c r="D83" i="20" s="1"/>
  <c r="C88" i="20" s="1"/>
  <c r="B26" i="21"/>
  <c r="C26" i="21" s="1"/>
  <c r="D26" i="21" s="1"/>
  <c r="E26" i="21" s="1"/>
  <c r="F26" i="21" s="1"/>
  <c r="G26" i="21" s="1"/>
  <c r="H26" i="21" s="1"/>
  <c r="I26" i="21" s="1"/>
  <c r="J26" i="21" s="1"/>
  <c r="K26" i="21" s="1"/>
  <c r="L26" i="21" s="1"/>
  <c r="M26" i="21" s="1"/>
  <c r="N26" i="21" s="1"/>
  <c r="O26" i="21" s="1"/>
  <c r="P26" i="21" s="1"/>
  <c r="Q26" i="21" s="1"/>
  <c r="B66" i="21"/>
  <c r="B78" i="21" s="1"/>
  <c r="B83" i="21" s="1"/>
  <c r="C83" i="21" s="1"/>
  <c r="B71" i="21"/>
  <c r="B71" i="20"/>
  <c r="B71" i="18"/>
  <c r="B71" i="17"/>
  <c r="B71" i="19"/>
  <c r="B71" i="13"/>
  <c r="B26" i="18"/>
  <c r="C26" i="18" s="1"/>
  <c r="D26" i="18" s="1"/>
  <c r="E26" i="18" s="1"/>
  <c r="F26" i="18" s="1"/>
  <c r="G26" i="18" s="1"/>
  <c r="H26" i="18" s="1"/>
  <c r="I26" i="18" s="1"/>
  <c r="J26" i="18" s="1"/>
  <c r="K26" i="18" s="1"/>
  <c r="L26" i="18" s="1"/>
  <c r="M26" i="18" s="1"/>
  <c r="N26" i="18" s="1"/>
  <c r="O26" i="18" s="1"/>
  <c r="P26" i="18" s="1"/>
  <c r="Q26" i="18" s="1"/>
  <c r="B66" i="18"/>
  <c r="B78" i="18" s="1"/>
  <c r="B83" i="18" s="1"/>
  <c r="C83" i="18" s="1"/>
  <c r="B88" i="18" s="1"/>
  <c r="B26" i="17"/>
  <c r="C26" i="17" s="1"/>
  <c r="D26" i="17" s="1"/>
  <c r="E26" i="17" s="1"/>
  <c r="F26" i="17" s="1"/>
  <c r="G26" i="17" s="1"/>
  <c r="H26" i="17" s="1"/>
  <c r="I26" i="17" s="1"/>
  <c r="J26" i="17" s="1"/>
  <c r="K26" i="17" s="1"/>
  <c r="L26" i="17" s="1"/>
  <c r="M26" i="17" s="1"/>
  <c r="N26" i="17" s="1"/>
  <c r="O26" i="17" s="1"/>
  <c r="P26" i="17" s="1"/>
  <c r="Q26" i="17" s="1"/>
  <c r="B66" i="17"/>
  <c r="B78" i="17" s="1"/>
  <c r="B83" i="17" s="1"/>
  <c r="C83" i="17" s="1"/>
  <c r="B88" i="17" s="1"/>
  <c r="U21" i="20"/>
  <c r="U66" i="20" s="1"/>
  <c r="U21" i="17"/>
  <c r="U66" i="17" s="1"/>
  <c r="U21" i="18"/>
  <c r="U66" i="18" s="1"/>
  <c r="U21" i="19"/>
  <c r="U66" i="19" s="1"/>
  <c r="U21" i="13"/>
  <c r="U66" i="13" s="1"/>
  <c r="U6" i="22"/>
  <c r="U21" i="21"/>
  <c r="U66" i="21" s="1"/>
  <c r="B26" i="13"/>
  <c r="C26" i="13" s="1"/>
  <c r="D26" i="13" s="1"/>
  <c r="E26" i="13" s="1"/>
  <c r="F26" i="13" s="1"/>
  <c r="G26" i="13" s="1"/>
  <c r="H26" i="13" s="1"/>
  <c r="I26" i="13" s="1"/>
  <c r="J26" i="13" s="1"/>
  <c r="K26" i="13" s="1"/>
  <c r="L26" i="13" s="1"/>
  <c r="M26" i="13" s="1"/>
  <c r="N26" i="13" s="1"/>
  <c r="O26" i="13" s="1"/>
  <c r="P26" i="13" s="1"/>
  <c r="Q26" i="13" s="1"/>
  <c r="B66" i="13"/>
  <c r="B78" i="13" s="1"/>
  <c r="B83" i="13" s="1"/>
  <c r="B26" i="19"/>
  <c r="C26" i="19" s="1"/>
  <c r="D26" i="19" s="1"/>
  <c r="E26" i="19" s="1"/>
  <c r="F26" i="19" s="1"/>
  <c r="G26" i="19" s="1"/>
  <c r="H26" i="19" s="1"/>
  <c r="I26" i="19" s="1"/>
  <c r="J26" i="19" s="1"/>
  <c r="K26" i="19" s="1"/>
  <c r="L26" i="19" s="1"/>
  <c r="M26" i="19" s="1"/>
  <c r="N26" i="19" s="1"/>
  <c r="O26" i="19" s="1"/>
  <c r="P26" i="19" s="1"/>
  <c r="Q26" i="19" s="1"/>
  <c r="B66" i="19"/>
  <c r="B78" i="19" s="1"/>
  <c r="B83" i="19" s="1"/>
  <c r="C83" i="19" s="1"/>
  <c r="B88" i="19" s="1"/>
  <c r="I19" i="22"/>
  <c r="C52" i="3"/>
  <c r="O51" i="3" s="1"/>
  <c r="I13" i="22"/>
  <c r="T13" i="22"/>
  <c r="W32" i="17"/>
  <c r="V38" i="2"/>
  <c r="V69" i="19" s="1"/>
  <c r="V9" i="22"/>
  <c r="W32" i="13"/>
  <c r="B13" i="22"/>
  <c r="P13" i="22"/>
  <c r="R14" i="22"/>
  <c r="C71" i="21"/>
  <c r="C71" i="19"/>
  <c r="C71" i="20"/>
  <c r="Q71" i="21"/>
  <c r="Q71" i="19"/>
  <c r="Q71" i="20"/>
  <c r="U19" i="21"/>
  <c r="U19" i="20"/>
  <c r="U19" i="19"/>
  <c r="V19" i="20"/>
  <c r="V19" i="21"/>
  <c r="V19" i="19"/>
  <c r="N64" i="20"/>
  <c r="P35" i="19"/>
  <c r="P107" i="19" s="1"/>
  <c r="P48" i="19"/>
  <c r="P41" i="19"/>
  <c r="J41" i="20"/>
  <c r="J48" i="20"/>
  <c r="M35" i="19"/>
  <c r="M107" i="19" s="1"/>
  <c r="M41" i="19"/>
  <c r="M48" i="19"/>
  <c r="Q64" i="20"/>
  <c r="H64" i="20"/>
  <c r="L64" i="21"/>
  <c r="F64" i="21"/>
  <c r="B53" i="21"/>
  <c r="K64" i="19"/>
  <c r="J33" i="17"/>
  <c r="J35" i="17" s="1"/>
  <c r="J107" i="17" s="1"/>
  <c r="H5" i="19"/>
  <c r="H7" i="19" s="1"/>
  <c r="J33" i="21"/>
  <c r="J35" i="21" s="1"/>
  <c r="J107" i="21" s="1"/>
  <c r="B33" i="20"/>
  <c r="P5" i="19"/>
  <c r="P7" i="19" s="1"/>
  <c r="I5" i="21"/>
  <c r="I7" i="21" s="1"/>
  <c r="J5" i="20"/>
  <c r="J7" i="20" s="1"/>
  <c r="D5" i="20"/>
  <c r="D7" i="20" s="1"/>
  <c r="G33" i="20"/>
  <c r="G35" i="20" s="1"/>
  <c r="G107" i="20" s="1"/>
  <c r="R5" i="19"/>
  <c r="R7" i="19" s="1"/>
  <c r="S5" i="21"/>
  <c r="S7" i="21" s="1"/>
  <c r="L5" i="20"/>
  <c r="L7" i="20" s="1"/>
  <c r="F5" i="20"/>
  <c r="F7" i="20" s="1"/>
  <c r="B5" i="19"/>
  <c r="C33" i="21"/>
  <c r="C35" i="21" s="1"/>
  <c r="C107" i="21" s="1"/>
  <c r="N71" i="20"/>
  <c r="N71" i="21"/>
  <c r="N71" i="19"/>
  <c r="E19" i="21"/>
  <c r="E64" i="21" s="1"/>
  <c r="E19" i="20"/>
  <c r="E64" i="20" s="1"/>
  <c r="E19" i="19"/>
  <c r="E64" i="19" s="1"/>
  <c r="K71" i="21"/>
  <c r="K71" i="19"/>
  <c r="K71" i="20"/>
  <c r="T71" i="21"/>
  <c r="T71" i="20"/>
  <c r="T71" i="19"/>
  <c r="C69" i="20"/>
  <c r="C69" i="21"/>
  <c r="C69" i="19"/>
  <c r="H71" i="21"/>
  <c r="H71" i="20"/>
  <c r="H71" i="19"/>
  <c r="R21" i="19"/>
  <c r="R21" i="20"/>
  <c r="R21" i="21"/>
  <c r="H69" i="20"/>
  <c r="H69" i="21"/>
  <c r="H69" i="19"/>
  <c r="M19" i="21"/>
  <c r="M19" i="20"/>
  <c r="M19" i="19"/>
  <c r="I19" i="21"/>
  <c r="I19" i="20"/>
  <c r="I19" i="19"/>
  <c r="C64" i="20"/>
  <c r="B53" i="20"/>
  <c r="N64" i="19"/>
  <c r="P35" i="20"/>
  <c r="P107" i="20" s="1"/>
  <c r="P48" i="20"/>
  <c r="P41" i="20"/>
  <c r="J48" i="21"/>
  <c r="J41" i="21"/>
  <c r="S35" i="20"/>
  <c r="S107" i="20" s="1"/>
  <c r="S48" i="20"/>
  <c r="S41" i="20"/>
  <c r="F64" i="19"/>
  <c r="Q64" i="19"/>
  <c r="H64" i="21"/>
  <c r="H76" i="21" s="1"/>
  <c r="R64" i="20"/>
  <c r="L64" i="19"/>
  <c r="G64" i="21"/>
  <c r="C64" i="19"/>
  <c r="B53" i="19"/>
  <c r="W13" i="19"/>
  <c r="X13" i="19"/>
  <c r="D35" i="21"/>
  <c r="D107" i="21" s="1"/>
  <c r="D48" i="21"/>
  <c r="D41" i="21"/>
  <c r="X13" i="21"/>
  <c r="W13" i="21"/>
  <c r="L5" i="13"/>
  <c r="L7" i="13" s="1"/>
  <c r="H5" i="13"/>
  <c r="H7" i="13" s="1"/>
  <c r="C5" i="13"/>
  <c r="C7" i="13" s="1"/>
  <c r="N5" i="18"/>
  <c r="N7" i="18" s="1"/>
  <c r="I5" i="17"/>
  <c r="I7" i="17" s="1"/>
  <c r="W32" i="18"/>
  <c r="N5" i="20"/>
  <c r="N7" i="20" s="1"/>
  <c r="J33" i="19"/>
  <c r="J35" i="19" s="1"/>
  <c r="J107" i="19" s="1"/>
  <c r="B33" i="21"/>
  <c r="C5" i="20"/>
  <c r="C7" i="20" s="1"/>
  <c r="X50" i="3"/>
  <c r="E33" i="20"/>
  <c r="E35" i="20" s="1"/>
  <c r="E107" i="20" s="1"/>
  <c r="I5" i="19"/>
  <c r="I7" i="19" s="1"/>
  <c r="J5" i="21"/>
  <c r="J7" i="21" s="1"/>
  <c r="K5" i="20"/>
  <c r="K7" i="20" s="1"/>
  <c r="D5" i="19"/>
  <c r="D7" i="19" s="1"/>
  <c r="G33" i="21"/>
  <c r="G35" i="21" s="1"/>
  <c r="G107" i="21" s="1"/>
  <c r="Q5" i="20"/>
  <c r="Q7" i="20" s="1"/>
  <c r="S5" i="19"/>
  <c r="S7" i="19" s="1"/>
  <c r="L5" i="19"/>
  <c r="L7" i="19" s="1"/>
  <c r="F5" i="21"/>
  <c r="F7" i="21" s="1"/>
  <c r="I33" i="20"/>
  <c r="I35" i="20" s="1"/>
  <c r="I107" i="20" s="1"/>
  <c r="C33" i="19"/>
  <c r="C35" i="19" s="1"/>
  <c r="C107" i="19" s="1"/>
  <c r="O19" i="20"/>
  <c r="O19" i="21"/>
  <c r="O19" i="19"/>
  <c r="F71" i="20"/>
  <c r="F71" i="21"/>
  <c r="F71" i="19"/>
  <c r="J19" i="20"/>
  <c r="J19" i="21"/>
  <c r="J19" i="19"/>
  <c r="V11" i="21"/>
  <c r="V11" i="20"/>
  <c r="V11" i="19"/>
  <c r="E71" i="21"/>
  <c r="E71" i="19"/>
  <c r="E71" i="20"/>
  <c r="F69" i="21"/>
  <c r="F69" i="20"/>
  <c r="F69" i="19"/>
  <c r="G69" i="20"/>
  <c r="G69" i="21"/>
  <c r="G69" i="19"/>
  <c r="N64" i="21"/>
  <c r="J41" i="19"/>
  <c r="J48" i="19"/>
  <c r="S35" i="21"/>
  <c r="S107" i="21" s="1"/>
  <c r="S48" i="21"/>
  <c r="S41" i="21"/>
  <c r="G64" i="19"/>
  <c r="G76" i="19" s="1"/>
  <c r="M35" i="20"/>
  <c r="M107" i="20" s="1"/>
  <c r="M41" i="20"/>
  <c r="M48" i="20"/>
  <c r="H64" i="19"/>
  <c r="R64" i="19"/>
  <c r="X32" i="19"/>
  <c r="D35" i="19"/>
  <c r="D107" i="19" s="1"/>
  <c r="D48" i="19"/>
  <c r="D41" i="19"/>
  <c r="F64" i="20"/>
  <c r="K64" i="20"/>
  <c r="T65" i="12"/>
  <c r="E33" i="18"/>
  <c r="E35" i="18" s="1"/>
  <c r="E107" i="18" s="1"/>
  <c r="C33" i="17"/>
  <c r="C35" i="17" s="1"/>
  <c r="C107" i="17" s="1"/>
  <c r="X32" i="20"/>
  <c r="N5" i="21"/>
  <c r="N7" i="21" s="1"/>
  <c r="H5" i="21"/>
  <c r="H7" i="21" s="1"/>
  <c r="B33" i="19"/>
  <c r="C5" i="21"/>
  <c r="C7" i="21" s="1"/>
  <c r="E33" i="21"/>
  <c r="E35" i="21" s="1"/>
  <c r="E107" i="21" s="1"/>
  <c r="P5" i="21"/>
  <c r="P7" i="21" s="1"/>
  <c r="J5" i="19"/>
  <c r="J7" i="19" s="1"/>
  <c r="K5" i="21"/>
  <c r="K7" i="21" s="1"/>
  <c r="W32" i="19"/>
  <c r="G33" i="19"/>
  <c r="G35" i="19" s="1"/>
  <c r="G107" i="19" s="1"/>
  <c r="Q5" i="21"/>
  <c r="Q7" i="21" s="1"/>
  <c r="R5" i="20"/>
  <c r="R7" i="20" s="1"/>
  <c r="W32" i="21"/>
  <c r="F5" i="19"/>
  <c r="F7" i="19" s="1"/>
  <c r="I33" i="21"/>
  <c r="I35" i="21" s="1"/>
  <c r="I107" i="21" s="1"/>
  <c r="B5" i="20"/>
  <c r="D71" i="21"/>
  <c r="D71" i="20"/>
  <c r="D71" i="19"/>
  <c r="T19" i="20"/>
  <c r="T19" i="21"/>
  <c r="T19" i="19"/>
  <c r="G71" i="21"/>
  <c r="G71" i="19"/>
  <c r="G71" i="20"/>
  <c r="B19" i="20"/>
  <c r="B19" i="19"/>
  <c r="B64" i="19" s="1"/>
  <c r="B19" i="21"/>
  <c r="X13" i="20"/>
  <c r="W13" i="20"/>
  <c r="P35" i="21"/>
  <c r="P107" i="21" s="1"/>
  <c r="P41" i="21"/>
  <c r="P48" i="21"/>
  <c r="S35" i="19"/>
  <c r="S107" i="19" s="1"/>
  <c r="S48" i="19"/>
  <c r="S41" i="19"/>
  <c r="M35" i="21"/>
  <c r="M107" i="21" s="1"/>
  <c r="M48" i="21"/>
  <c r="M41" i="21"/>
  <c r="Q64" i="21"/>
  <c r="R64" i="21"/>
  <c r="L64" i="20"/>
  <c r="D35" i="20"/>
  <c r="D107" i="20" s="1"/>
  <c r="D41" i="20"/>
  <c r="D48" i="20"/>
  <c r="G64" i="20"/>
  <c r="C64" i="21"/>
  <c r="K64" i="21"/>
  <c r="R5" i="18"/>
  <c r="R7" i="18" s="1"/>
  <c r="I33" i="17"/>
  <c r="I35" i="17" s="1"/>
  <c r="I107" i="17" s="1"/>
  <c r="N5" i="19"/>
  <c r="N7" i="19" s="1"/>
  <c r="H5" i="20"/>
  <c r="H7" i="20" s="1"/>
  <c r="J33" i="20"/>
  <c r="J35" i="20" s="1"/>
  <c r="J107" i="20" s="1"/>
  <c r="C5" i="19"/>
  <c r="C7" i="19" s="1"/>
  <c r="E33" i="19"/>
  <c r="E35" i="19" s="1"/>
  <c r="E107" i="19" s="1"/>
  <c r="P5" i="20"/>
  <c r="P7" i="20" s="1"/>
  <c r="I5" i="20"/>
  <c r="I7" i="20" s="1"/>
  <c r="K5" i="19"/>
  <c r="K7" i="19" s="1"/>
  <c r="D5" i="21"/>
  <c r="Q5" i="19"/>
  <c r="Q7" i="19" s="1"/>
  <c r="R5" i="21"/>
  <c r="R7" i="21" s="1"/>
  <c r="S5" i="20"/>
  <c r="S7" i="20" s="1"/>
  <c r="X32" i="21"/>
  <c r="L5" i="21"/>
  <c r="L7" i="21" s="1"/>
  <c r="I33" i="19"/>
  <c r="I35" i="19" s="1"/>
  <c r="I107" i="19" s="1"/>
  <c r="B5" i="21"/>
  <c r="C33" i="20"/>
  <c r="C35" i="20" s="1"/>
  <c r="C107" i="20" s="1"/>
  <c r="H74" i="20"/>
  <c r="I2" i="20"/>
  <c r="F55" i="20"/>
  <c r="D61" i="20"/>
  <c r="G78" i="20"/>
  <c r="B88" i="20"/>
  <c r="I74" i="21"/>
  <c r="J2" i="21"/>
  <c r="G55" i="21"/>
  <c r="F61" i="21" s="1"/>
  <c r="H78" i="21"/>
  <c r="E61" i="21"/>
  <c r="F55" i="19"/>
  <c r="E61" i="19" s="1"/>
  <c r="G78" i="19"/>
  <c r="H74" i="19"/>
  <c r="I2" i="19"/>
  <c r="B35" i="18"/>
  <c r="M19" i="18"/>
  <c r="M19" i="17"/>
  <c r="M35" i="17"/>
  <c r="M107" i="17" s="1"/>
  <c r="M48" i="17"/>
  <c r="M41" i="17"/>
  <c r="J48" i="17"/>
  <c r="J41" i="17"/>
  <c r="G64" i="17"/>
  <c r="K64" i="17"/>
  <c r="F69" i="18"/>
  <c r="F69" i="17"/>
  <c r="G69" i="18"/>
  <c r="G69" i="17"/>
  <c r="N64" i="18"/>
  <c r="R64" i="17"/>
  <c r="P35" i="18"/>
  <c r="P107" i="18" s="1"/>
  <c r="P48" i="18"/>
  <c r="P41" i="18"/>
  <c r="Q64" i="18"/>
  <c r="C64" i="17"/>
  <c r="D35" i="17"/>
  <c r="D107" i="17" s="1"/>
  <c r="D48" i="17"/>
  <c r="D41" i="17"/>
  <c r="H64" i="18"/>
  <c r="F64" i="18"/>
  <c r="K64" i="18"/>
  <c r="K5" i="18"/>
  <c r="K7" i="18" s="1"/>
  <c r="F5" i="18"/>
  <c r="F7" i="18" s="1"/>
  <c r="E65" i="12"/>
  <c r="F5" i="13"/>
  <c r="F7" i="13" s="1"/>
  <c r="P5" i="13"/>
  <c r="P7" i="13" s="1"/>
  <c r="K5" i="13"/>
  <c r="K7" i="13" s="1"/>
  <c r="Q5" i="13"/>
  <c r="Q7" i="13" s="1"/>
  <c r="X32" i="17"/>
  <c r="H5" i="18"/>
  <c r="H7" i="18" s="1"/>
  <c r="B33" i="17"/>
  <c r="C5" i="18"/>
  <c r="C7" i="18" s="1"/>
  <c r="E33" i="17"/>
  <c r="E35" i="17" s="1"/>
  <c r="E107" i="17" s="1"/>
  <c r="B5" i="17"/>
  <c r="G33" i="18"/>
  <c r="G35" i="18" s="1"/>
  <c r="G107" i="18" s="1"/>
  <c r="Q5" i="17"/>
  <c r="Q7" i="17" s="1"/>
  <c r="S5" i="18"/>
  <c r="S7" i="18" s="1"/>
  <c r="C33" i="13"/>
  <c r="C35" i="13" s="1"/>
  <c r="C107" i="13" s="1"/>
  <c r="C69" i="17"/>
  <c r="C69" i="18"/>
  <c r="R21" i="18"/>
  <c r="R21" i="17"/>
  <c r="X32" i="13"/>
  <c r="J48" i="13"/>
  <c r="X13" i="18"/>
  <c r="W13" i="18"/>
  <c r="D35" i="18"/>
  <c r="D107" i="18" s="1"/>
  <c r="D41" i="18"/>
  <c r="D48" i="18"/>
  <c r="S35" i="17"/>
  <c r="S107" i="17" s="1"/>
  <c r="S48" i="17"/>
  <c r="S41" i="17"/>
  <c r="E71" i="17"/>
  <c r="E71" i="18"/>
  <c r="D71" i="18"/>
  <c r="D71" i="17"/>
  <c r="C71" i="18"/>
  <c r="C71" i="17"/>
  <c r="N71" i="18"/>
  <c r="N71" i="17"/>
  <c r="Q71" i="17"/>
  <c r="Q71" i="18"/>
  <c r="E19" i="18"/>
  <c r="E64" i="18" s="1"/>
  <c r="E19" i="17"/>
  <c r="E64" i="17" s="1"/>
  <c r="T19" i="18"/>
  <c r="T19" i="17"/>
  <c r="G71" i="18"/>
  <c r="G71" i="17"/>
  <c r="O19" i="17"/>
  <c r="O19" i="18"/>
  <c r="B19" i="18"/>
  <c r="B19" i="17"/>
  <c r="B64" i="17" s="1"/>
  <c r="X13" i="17"/>
  <c r="W13" i="17"/>
  <c r="B53" i="17"/>
  <c r="N64" i="17"/>
  <c r="R64" i="18"/>
  <c r="P35" i="17"/>
  <c r="P107" i="17" s="1"/>
  <c r="P41" i="17"/>
  <c r="P48" i="17"/>
  <c r="Q64" i="17"/>
  <c r="B53" i="18"/>
  <c r="F64" i="17"/>
  <c r="L64" i="18"/>
  <c r="H64" i="17"/>
  <c r="H76" i="17" s="1"/>
  <c r="B33" i="13"/>
  <c r="B35" i="13" s="1"/>
  <c r="G33" i="13"/>
  <c r="G35" i="13" s="1"/>
  <c r="G107" i="13" s="1"/>
  <c r="N65" i="12"/>
  <c r="J33" i="18"/>
  <c r="J35" i="18" s="1"/>
  <c r="J107" i="18" s="1"/>
  <c r="X32" i="18"/>
  <c r="P5" i="18"/>
  <c r="P7" i="18" s="1"/>
  <c r="J5" i="17"/>
  <c r="J7" i="17" s="1"/>
  <c r="B5" i="18"/>
  <c r="D5" i="18"/>
  <c r="D7" i="18" s="1"/>
  <c r="S5" i="17"/>
  <c r="S7" i="17" s="1"/>
  <c r="L5" i="18"/>
  <c r="L7" i="18" s="1"/>
  <c r="H71" i="18"/>
  <c r="H71" i="17"/>
  <c r="H69" i="18"/>
  <c r="H69" i="17"/>
  <c r="I19" i="18"/>
  <c r="I19" i="17"/>
  <c r="K71" i="18"/>
  <c r="K71" i="17"/>
  <c r="F71" i="18"/>
  <c r="F71" i="17"/>
  <c r="T71" i="18"/>
  <c r="T71" i="17"/>
  <c r="U19" i="18"/>
  <c r="U19" i="17"/>
  <c r="J19" i="17"/>
  <c r="J19" i="18"/>
  <c r="V19" i="17"/>
  <c r="V19" i="18"/>
  <c r="V11" i="18"/>
  <c r="V11" i="17"/>
  <c r="G64" i="18"/>
  <c r="G76" i="18" s="1"/>
  <c r="C64" i="18"/>
  <c r="M35" i="18"/>
  <c r="M107" i="18" s="1"/>
  <c r="M48" i="18"/>
  <c r="M41" i="18"/>
  <c r="J48" i="18"/>
  <c r="J41" i="18"/>
  <c r="L64" i="17"/>
  <c r="S35" i="18"/>
  <c r="S107" i="18" s="1"/>
  <c r="S48" i="18"/>
  <c r="S41" i="18"/>
  <c r="F65" i="12"/>
  <c r="I35" i="13"/>
  <c r="I107" i="13" s="1"/>
  <c r="G78" i="13"/>
  <c r="D5" i="13"/>
  <c r="D7" i="13" s="1"/>
  <c r="N5" i="17"/>
  <c r="N7" i="17" s="1"/>
  <c r="J5" i="18"/>
  <c r="J7" i="18" s="1"/>
  <c r="R5" i="17"/>
  <c r="R7" i="17" s="1"/>
  <c r="I33" i="18"/>
  <c r="I35" i="18" s="1"/>
  <c r="I107" i="18" s="1"/>
  <c r="H74" i="18"/>
  <c r="I2" i="18"/>
  <c r="J2" i="18" s="1"/>
  <c r="F55" i="18"/>
  <c r="D61" i="18"/>
  <c r="G78" i="18"/>
  <c r="I74" i="17"/>
  <c r="J2" i="17"/>
  <c r="F55" i="17"/>
  <c r="H78" i="17"/>
  <c r="B107" i="13"/>
  <c r="R20" i="12"/>
  <c r="R21" i="13"/>
  <c r="M19" i="13"/>
  <c r="N47" i="12"/>
  <c r="N63" i="12" s="1"/>
  <c r="M34" i="3"/>
  <c r="M66" i="13"/>
  <c r="E70" i="12"/>
  <c r="E77" i="12" s="1"/>
  <c r="E71" i="13"/>
  <c r="L66" i="13"/>
  <c r="F69" i="13"/>
  <c r="U47" i="12"/>
  <c r="O47" i="12"/>
  <c r="O49" i="12"/>
  <c r="O65" i="12" s="1"/>
  <c r="O66" i="13"/>
  <c r="I66" i="13"/>
  <c r="G69" i="13"/>
  <c r="J34" i="2"/>
  <c r="W11" i="3"/>
  <c r="V11" i="13"/>
  <c r="G64" i="13"/>
  <c r="G76" i="13" s="1"/>
  <c r="C64" i="13"/>
  <c r="C76" i="13" s="1"/>
  <c r="F64" i="13"/>
  <c r="F76" i="13" s="1"/>
  <c r="I5" i="13"/>
  <c r="I7" i="13" s="1"/>
  <c r="D65" i="12"/>
  <c r="C69" i="13"/>
  <c r="H70" i="12"/>
  <c r="H77" i="12" s="1"/>
  <c r="H71" i="13"/>
  <c r="H69" i="13"/>
  <c r="Q47" i="12"/>
  <c r="Q63" i="12" s="1"/>
  <c r="I18" i="12"/>
  <c r="I63" i="12" s="1"/>
  <c r="I19" i="13"/>
  <c r="I64" i="13" s="1"/>
  <c r="M35" i="13"/>
  <c r="M107" i="13" s="1"/>
  <c r="M41" i="13"/>
  <c r="D70" i="12"/>
  <c r="D77" i="12" s="1"/>
  <c r="D71" i="13"/>
  <c r="C70" i="12"/>
  <c r="C77" i="12" s="1"/>
  <c r="C71" i="13"/>
  <c r="N70" i="12"/>
  <c r="N77" i="12" s="1"/>
  <c r="N71" i="13"/>
  <c r="Q70" i="12"/>
  <c r="Q77" i="12" s="1"/>
  <c r="Q71" i="13"/>
  <c r="E19" i="13"/>
  <c r="E64" i="13" s="1"/>
  <c r="E76" i="13" s="1"/>
  <c r="T19" i="13"/>
  <c r="P66" i="13"/>
  <c r="R64" i="13"/>
  <c r="G70" i="12"/>
  <c r="G77" i="12" s="1"/>
  <c r="G71" i="13"/>
  <c r="O19" i="13"/>
  <c r="B19" i="13"/>
  <c r="N64" i="13"/>
  <c r="C66" i="13"/>
  <c r="C78" i="13" s="1"/>
  <c r="C55" i="13"/>
  <c r="K65" i="12"/>
  <c r="H64" i="13"/>
  <c r="K70" i="12"/>
  <c r="K77" i="12" s="1"/>
  <c r="K71" i="13"/>
  <c r="F70" i="12"/>
  <c r="F77" i="12" s="1"/>
  <c r="F71" i="13"/>
  <c r="T70" i="12"/>
  <c r="T77" i="12" s="1"/>
  <c r="T71" i="13"/>
  <c r="U18" i="12"/>
  <c r="U19" i="13"/>
  <c r="J19" i="13"/>
  <c r="U49" i="12"/>
  <c r="V47" i="12"/>
  <c r="T47" i="12"/>
  <c r="R49" i="12"/>
  <c r="V18" i="12"/>
  <c r="V19" i="13"/>
  <c r="V49" i="12"/>
  <c r="P35" i="13"/>
  <c r="P107" i="13" s="1"/>
  <c r="P41" i="13"/>
  <c r="J35" i="13"/>
  <c r="J107" i="13" s="1"/>
  <c r="J41" i="13"/>
  <c r="S35" i="13"/>
  <c r="S107" i="13" s="1"/>
  <c r="S41" i="13"/>
  <c r="X13" i="13"/>
  <c r="W13" i="13"/>
  <c r="B53" i="13"/>
  <c r="D35" i="13"/>
  <c r="D107" i="13" s="1"/>
  <c r="D41" i="13"/>
  <c r="X47" i="2"/>
  <c r="H74" i="13"/>
  <c r="H78" i="13" s="1"/>
  <c r="I2" i="13"/>
  <c r="X49" i="2"/>
  <c r="B50" i="2"/>
  <c r="B72" i="8"/>
  <c r="B73" i="8" s="1"/>
  <c r="B74" i="8" s="1"/>
  <c r="C25" i="12"/>
  <c r="D25" i="12" s="1"/>
  <c r="E25" i="12" s="1"/>
  <c r="F25" i="12" s="1"/>
  <c r="G25" i="12" s="1"/>
  <c r="H25" i="12" s="1"/>
  <c r="I25" i="12" s="1"/>
  <c r="J25" i="12" s="1"/>
  <c r="K25" i="12" s="1"/>
  <c r="L25" i="12" s="1"/>
  <c r="M25" i="12" s="1"/>
  <c r="N25" i="12" s="1"/>
  <c r="O25" i="12" s="1"/>
  <c r="P25" i="12" s="1"/>
  <c r="Q25" i="12" s="1"/>
  <c r="E17" i="5"/>
  <c r="M17" i="5"/>
  <c r="U17" i="5"/>
  <c r="C6" i="5"/>
  <c r="K6" i="5"/>
  <c r="S6" i="5"/>
  <c r="G6" i="5"/>
  <c r="D17" i="5"/>
  <c r="L17" i="5"/>
  <c r="T17" i="5"/>
  <c r="J6" i="5"/>
  <c r="R6" i="5"/>
  <c r="O6" i="5"/>
  <c r="E6" i="5"/>
  <c r="C17" i="5"/>
  <c r="K17" i="5"/>
  <c r="S17" i="5"/>
  <c r="I6" i="5"/>
  <c r="Q6" i="5"/>
  <c r="J17" i="5"/>
  <c r="R17" i="5"/>
  <c r="H6" i="5"/>
  <c r="P6" i="5"/>
  <c r="B6" i="5"/>
  <c r="I17" i="5"/>
  <c r="Q17" i="5"/>
  <c r="H17" i="5"/>
  <c r="P17" i="5"/>
  <c r="B17" i="5"/>
  <c r="F6" i="5"/>
  <c r="N6" i="5"/>
  <c r="V6" i="5"/>
  <c r="V51" i="22" s="1"/>
  <c r="V53" i="22" s="1"/>
  <c r="G17" i="5"/>
  <c r="O17" i="5"/>
  <c r="U6" i="5"/>
  <c r="F17" i="5"/>
  <c r="N17" i="5"/>
  <c r="V17" i="5"/>
  <c r="D6" i="5"/>
  <c r="L6" i="5"/>
  <c r="T6" i="5"/>
  <c r="M6" i="5"/>
  <c r="B54" i="12"/>
  <c r="C54" i="12" s="1"/>
  <c r="D54" i="12" s="1"/>
  <c r="C60" i="12" s="1"/>
  <c r="B65" i="12"/>
  <c r="B70" i="12"/>
  <c r="B77" i="12" s="1"/>
  <c r="B82" i="12" s="1"/>
  <c r="T18" i="12"/>
  <c r="M38" i="12"/>
  <c r="M42" i="12" s="1"/>
  <c r="V38" i="12"/>
  <c r="U15" i="3"/>
  <c r="U20" i="12"/>
  <c r="V10" i="12"/>
  <c r="W10" i="12" s="1"/>
  <c r="W30" i="3"/>
  <c r="S31" i="3"/>
  <c r="S32" i="3" s="1"/>
  <c r="S10" i="22" s="1"/>
  <c r="S47" i="22" s="1"/>
  <c r="V12" i="3"/>
  <c r="V13" i="3" s="1"/>
  <c r="V6" i="22" s="1"/>
  <c r="V14" i="22" s="1"/>
  <c r="J31" i="3"/>
  <c r="J32" i="3" s="1"/>
  <c r="J10" i="22" s="1"/>
  <c r="J47" i="22" s="1"/>
  <c r="S13" i="3"/>
  <c r="S6" i="22" s="1"/>
  <c r="S43" i="22" s="1"/>
  <c r="J38" i="2"/>
  <c r="X36" i="12"/>
  <c r="X33" i="12"/>
  <c r="X5" i="12"/>
  <c r="W33" i="12"/>
  <c r="R38" i="2"/>
  <c r="R47" i="12"/>
  <c r="M34" i="2"/>
  <c r="M47" i="12"/>
  <c r="J42" i="12"/>
  <c r="W31" i="12"/>
  <c r="D40" i="12"/>
  <c r="X31" i="12"/>
  <c r="S42" i="12"/>
  <c r="F68" i="12"/>
  <c r="F75" i="12" s="1"/>
  <c r="J47" i="12"/>
  <c r="O38" i="3"/>
  <c r="Q38" i="2"/>
  <c r="L49" i="12"/>
  <c r="L65" i="12" s="1"/>
  <c r="H68" i="12"/>
  <c r="H75" i="12" s="1"/>
  <c r="J18" i="12"/>
  <c r="I34" i="3"/>
  <c r="I49" i="12"/>
  <c r="S14" i="12"/>
  <c r="G63" i="12"/>
  <c r="F63" i="12"/>
  <c r="M40" i="12"/>
  <c r="X3" i="12"/>
  <c r="B12" i="12"/>
  <c r="W3" i="12"/>
  <c r="B52" i="12"/>
  <c r="B99" i="12" s="1"/>
  <c r="W5" i="12"/>
  <c r="X8" i="12"/>
  <c r="C68" i="12"/>
  <c r="C75" i="12" s="1"/>
  <c r="E18" i="12"/>
  <c r="P49" i="12"/>
  <c r="P65" i="12" s="1"/>
  <c r="L38" i="2"/>
  <c r="L47" i="12"/>
  <c r="S47" i="12"/>
  <c r="P34" i="2"/>
  <c r="P47" i="12"/>
  <c r="K38" i="2"/>
  <c r="K47" i="12"/>
  <c r="G68" i="12"/>
  <c r="G75" i="12" s="1"/>
  <c r="M49" i="12"/>
  <c r="M65" i="12" s="1"/>
  <c r="B18" i="12"/>
  <c r="B63" i="12" s="1"/>
  <c r="M18" i="12"/>
  <c r="O18" i="12"/>
  <c r="W8" i="12"/>
  <c r="O12" i="12"/>
  <c r="E38" i="2"/>
  <c r="X31" i="2"/>
  <c r="M38" i="3"/>
  <c r="P40" i="12"/>
  <c r="W36" i="12"/>
  <c r="C63" i="12"/>
  <c r="R38" i="3"/>
  <c r="U38" i="2"/>
  <c r="M38" i="2"/>
  <c r="L34" i="3"/>
  <c r="U38" i="3"/>
  <c r="O38" i="2"/>
  <c r="W8" i="2"/>
  <c r="V34" i="2"/>
  <c r="S34" i="2"/>
  <c r="F39" i="3"/>
  <c r="U34" i="2"/>
  <c r="T38" i="2"/>
  <c r="N38" i="2"/>
  <c r="N34" i="2"/>
  <c r="E39" i="3"/>
  <c r="C39" i="3"/>
  <c r="H39" i="3"/>
  <c r="I38" i="3"/>
  <c r="I38" i="2"/>
  <c r="P38" i="2"/>
  <c r="X12" i="2"/>
  <c r="S13" i="2"/>
  <c r="S5" i="22" s="1"/>
  <c r="K34" i="2"/>
  <c r="L34" i="2"/>
  <c r="W31" i="2"/>
  <c r="X8" i="2"/>
  <c r="P34" i="3"/>
  <c r="T39" i="3"/>
  <c r="V34" i="3"/>
  <c r="D39" i="3"/>
  <c r="K39" i="3"/>
  <c r="N39" i="3"/>
  <c r="R15" i="3"/>
  <c r="Q39" i="3"/>
  <c r="Q34" i="2"/>
  <c r="O34" i="2"/>
  <c r="U34" i="3"/>
  <c r="O34" i="3"/>
  <c r="B14" i="2"/>
  <c r="W12" i="2"/>
  <c r="P38" i="3"/>
  <c r="X27" i="2"/>
  <c r="D32" i="2"/>
  <c r="R34" i="2"/>
  <c r="T34" i="2"/>
  <c r="R34" i="3"/>
  <c r="G39" i="3"/>
  <c r="L38" i="3"/>
  <c r="C45" i="7"/>
  <c r="E45" i="7" s="1"/>
  <c r="E41" i="7"/>
  <c r="C40" i="7"/>
  <c r="E40" i="7" s="1"/>
  <c r="E39" i="7"/>
  <c r="B39" i="3"/>
  <c r="B35" i="3"/>
  <c r="C33" i="3"/>
  <c r="D33" i="3" s="1"/>
  <c r="E33" i="3" s="1"/>
  <c r="F33" i="3" s="1"/>
  <c r="G33" i="3" s="1"/>
  <c r="H33" i="3" s="1"/>
  <c r="I33" i="3" s="1"/>
  <c r="B16" i="3"/>
  <c r="C14" i="3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B15" i="2"/>
  <c r="B38" i="2"/>
  <c r="C35" i="2"/>
  <c r="B36" i="2" s="1"/>
  <c r="D34" i="24" l="1"/>
  <c r="D35" i="24" s="1"/>
  <c r="D38" i="24"/>
  <c r="D39" i="24" s="1"/>
  <c r="D40" i="24" s="1"/>
  <c r="C41" i="24" s="1"/>
  <c r="N33" i="24"/>
  <c r="Y38" i="22"/>
  <c r="C82" i="12"/>
  <c r="I51" i="3"/>
  <c r="K51" i="3"/>
  <c r="D83" i="17"/>
  <c r="C88" i="17" s="1"/>
  <c r="W14" i="24"/>
  <c r="Q18" i="24"/>
  <c r="E51" i="3"/>
  <c r="P51" i="3"/>
  <c r="L51" i="3"/>
  <c r="B51" i="3"/>
  <c r="N38" i="24"/>
  <c r="N39" i="24" s="1"/>
  <c r="W39" i="24" s="1"/>
  <c r="Q55" i="22"/>
  <c r="Q57" i="22" s="1"/>
  <c r="Q66" i="22"/>
  <c r="Q68" i="22" s="1"/>
  <c r="T55" i="22"/>
  <c r="T66" i="22"/>
  <c r="T68" i="22" s="1"/>
  <c r="H55" i="22"/>
  <c r="H66" i="22"/>
  <c r="H68" i="22" s="1"/>
  <c r="C55" i="22"/>
  <c r="C57" i="22" s="1"/>
  <c r="C66" i="22"/>
  <c r="C68" i="22" s="1"/>
  <c r="U55" i="22"/>
  <c r="U57" i="22" s="1"/>
  <c r="U66" i="22"/>
  <c r="U68" i="22" s="1"/>
  <c r="I60" i="22"/>
  <c r="V55" i="22"/>
  <c r="V59" i="22" s="1"/>
  <c r="V66" i="22"/>
  <c r="V68" i="22" s="1"/>
  <c r="M55" i="22"/>
  <c r="M57" i="22" s="1"/>
  <c r="M66" i="22"/>
  <c r="M68" i="22" s="1"/>
  <c r="F55" i="22"/>
  <c r="F57" i="22" s="1"/>
  <c r="F66" i="22"/>
  <c r="F68" i="22" s="1"/>
  <c r="P55" i="22"/>
  <c r="P57" i="22" s="1"/>
  <c r="P66" i="22"/>
  <c r="P68" i="22" s="1"/>
  <c r="J55" i="22"/>
  <c r="J57" i="22" s="1"/>
  <c r="J66" i="22"/>
  <c r="J68" i="22" s="1"/>
  <c r="K55" i="22"/>
  <c r="K57" i="22" s="1"/>
  <c r="K66" i="22"/>
  <c r="K68" i="22" s="1"/>
  <c r="D55" i="22"/>
  <c r="D57" i="22" s="1"/>
  <c r="D66" i="22"/>
  <c r="D68" i="22" s="1"/>
  <c r="W52" i="22"/>
  <c r="O55" i="22"/>
  <c r="O57" i="22" s="1"/>
  <c r="O66" i="22"/>
  <c r="O68" i="22" s="1"/>
  <c r="N55" i="22"/>
  <c r="N57" i="22" s="1"/>
  <c r="N66" i="22"/>
  <c r="N68" i="22" s="1"/>
  <c r="G55" i="22"/>
  <c r="G66" i="22"/>
  <c r="G68" i="22" s="1"/>
  <c r="B55" i="22"/>
  <c r="B57" i="22" s="1"/>
  <c r="B66" i="22"/>
  <c r="I55" i="22"/>
  <c r="I57" i="22" s="1"/>
  <c r="I66" i="22"/>
  <c r="I68" i="22" s="1"/>
  <c r="R55" i="22"/>
  <c r="R57" i="22" s="1"/>
  <c r="R66" i="22"/>
  <c r="R68" i="22" s="1"/>
  <c r="S55" i="22"/>
  <c r="S57" i="22" s="1"/>
  <c r="S66" i="22"/>
  <c r="S68" i="22" s="1"/>
  <c r="L55" i="22"/>
  <c r="L57" i="22" s="1"/>
  <c r="L66" i="22"/>
  <c r="L68" i="22" s="1"/>
  <c r="E55" i="22"/>
  <c r="E57" i="22" s="1"/>
  <c r="E66" i="22"/>
  <c r="E68" i="22" s="1"/>
  <c r="W67" i="22"/>
  <c r="X67" i="22"/>
  <c r="N34" i="24"/>
  <c r="W34" i="24" s="1"/>
  <c r="J60" i="22"/>
  <c r="D9" i="22"/>
  <c r="D18" i="22" s="1"/>
  <c r="E18" i="22" s="1"/>
  <c r="F18" i="22" s="1"/>
  <c r="G18" i="22" s="1"/>
  <c r="H18" i="22" s="1"/>
  <c r="I18" i="22" s="1"/>
  <c r="J18" i="22" s="1"/>
  <c r="K18" i="22" s="1"/>
  <c r="L18" i="22" s="1"/>
  <c r="M18" i="22" s="1"/>
  <c r="N18" i="22" s="1"/>
  <c r="O18" i="22" s="1"/>
  <c r="P18" i="22" s="1"/>
  <c r="Q18" i="22" s="1"/>
  <c r="R18" i="22" s="1"/>
  <c r="S18" i="22" s="1"/>
  <c r="T18" i="22" s="1"/>
  <c r="U18" i="22" s="1"/>
  <c r="V18" i="22" s="1"/>
  <c r="D36" i="22"/>
  <c r="D62" i="22"/>
  <c r="D51" i="22"/>
  <c r="D53" i="22" s="1"/>
  <c r="H57" i="22"/>
  <c r="Q62" i="22"/>
  <c r="Q51" i="22"/>
  <c r="Q53" i="22" s="1"/>
  <c r="B71" i="22"/>
  <c r="L62" i="22"/>
  <c r="L51" i="22"/>
  <c r="L53" i="22" s="1"/>
  <c r="B51" i="22"/>
  <c r="B62" i="22"/>
  <c r="R62" i="22"/>
  <c r="R51" i="22"/>
  <c r="R53" i="22" s="1"/>
  <c r="C62" i="22"/>
  <c r="C51" i="22"/>
  <c r="C53" i="22" s="1"/>
  <c r="V42" i="22"/>
  <c r="V48" i="22"/>
  <c r="W40" i="22"/>
  <c r="X40" i="22"/>
  <c r="X47" i="22"/>
  <c r="W56" i="22"/>
  <c r="X52" i="22"/>
  <c r="N51" i="3"/>
  <c r="R51" i="3"/>
  <c r="M51" i="3"/>
  <c r="J51" i="3"/>
  <c r="D51" i="3"/>
  <c r="C51" i="3"/>
  <c r="C60" i="22"/>
  <c r="N62" i="22"/>
  <c r="N51" i="22"/>
  <c r="N53" i="22" s="1"/>
  <c r="J62" i="22"/>
  <c r="J51" i="22"/>
  <c r="J53" i="22" s="1"/>
  <c r="V62" i="22"/>
  <c r="X56" i="22"/>
  <c r="W47" i="22"/>
  <c r="U51" i="22"/>
  <c r="U53" i="22" s="1"/>
  <c r="U62" i="22"/>
  <c r="P62" i="22"/>
  <c r="P51" i="22"/>
  <c r="P53" i="22" s="1"/>
  <c r="G62" i="22"/>
  <c r="G51" i="22"/>
  <c r="G53" i="22" s="1"/>
  <c r="T51" i="22"/>
  <c r="T53" i="22" s="1"/>
  <c r="T62" i="22"/>
  <c r="G57" i="22"/>
  <c r="O62" i="22"/>
  <c r="O51" i="22"/>
  <c r="O53" i="22" s="1"/>
  <c r="K62" i="22"/>
  <c r="K51" i="22"/>
  <c r="K53" i="22" s="1"/>
  <c r="W5" i="22"/>
  <c r="S32" i="22"/>
  <c r="W32" i="22" s="1"/>
  <c r="M62" i="22"/>
  <c r="M51" i="22"/>
  <c r="M53" i="22" s="1"/>
  <c r="F62" i="22"/>
  <c r="F51" i="22"/>
  <c r="F53" i="22" s="1"/>
  <c r="H62" i="22"/>
  <c r="H51" i="22"/>
  <c r="H53" i="22" s="1"/>
  <c r="I62" i="22"/>
  <c r="I51" i="22"/>
  <c r="I53" i="22" s="1"/>
  <c r="E62" i="22"/>
  <c r="E51" i="22"/>
  <c r="E53" i="22" s="1"/>
  <c r="T57" i="22"/>
  <c r="S51" i="22"/>
  <c r="S53" i="22" s="1"/>
  <c r="S62" i="22"/>
  <c r="U14" i="22"/>
  <c r="U43" i="22"/>
  <c r="C71" i="22"/>
  <c r="H51" i="3"/>
  <c r="G51" i="3"/>
  <c r="C53" i="3"/>
  <c r="S51" i="3"/>
  <c r="F51" i="3"/>
  <c r="W51" i="3"/>
  <c r="U51" i="3"/>
  <c r="T51" i="3"/>
  <c r="V51" i="3"/>
  <c r="Q51" i="3"/>
  <c r="D83" i="19"/>
  <c r="C88" i="19" s="1"/>
  <c r="W48" i="20"/>
  <c r="V69" i="20"/>
  <c r="V69" i="21"/>
  <c r="X37" i="24"/>
  <c r="X42" i="24"/>
  <c r="O50" i="24"/>
  <c r="X49" i="24"/>
  <c r="W32" i="24"/>
  <c r="X35" i="24"/>
  <c r="O33" i="24"/>
  <c r="P33" i="24" s="1"/>
  <c r="Q33" i="24" s="1"/>
  <c r="R33" i="24" s="1"/>
  <c r="S33" i="24" s="1"/>
  <c r="T33" i="24" s="1"/>
  <c r="U33" i="24" s="1"/>
  <c r="V33" i="24" s="1"/>
  <c r="E40" i="24"/>
  <c r="E16" i="24"/>
  <c r="D17" i="24" s="1"/>
  <c r="W10" i="22"/>
  <c r="D83" i="18"/>
  <c r="C88" i="18" s="1"/>
  <c r="W41" i="21"/>
  <c r="B88" i="21"/>
  <c r="D83" i="21"/>
  <c r="E83" i="21" s="1"/>
  <c r="D88" i="21" s="1"/>
  <c r="X41" i="17"/>
  <c r="X6" i="22"/>
  <c r="C11" i="23" s="1"/>
  <c r="J11" i="23" s="1"/>
  <c r="L11" i="23" s="1"/>
  <c r="R65" i="12"/>
  <c r="W41" i="20"/>
  <c r="W41" i="19"/>
  <c r="J19" i="22"/>
  <c r="K19" i="22" s="1"/>
  <c r="L19" i="22" s="1"/>
  <c r="M19" i="22" s="1"/>
  <c r="N19" i="22" s="1"/>
  <c r="O19" i="22" s="1"/>
  <c r="P19" i="22" s="1"/>
  <c r="Q19" i="22" s="1"/>
  <c r="R19" i="22" s="1"/>
  <c r="S19" i="22" s="1"/>
  <c r="T19" i="22" s="1"/>
  <c r="U19" i="22" s="1"/>
  <c r="V19" i="22" s="1"/>
  <c r="Y5" i="22"/>
  <c r="W9" i="22"/>
  <c r="W6" i="22"/>
  <c r="Y6" i="22"/>
  <c r="S14" i="22"/>
  <c r="J14" i="22"/>
  <c r="Y10" i="22"/>
  <c r="X41" i="21"/>
  <c r="X41" i="19"/>
  <c r="X10" i="22"/>
  <c r="C12" i="23" s="1"/>
  <c r="J12" i="23" s="1"/>
  <c r="L12" i="23" s="1"/>
  <c r="V13" i="22"/>
  <c r="X48" i="17"/>
  <c r="X41" i="20"/>
  <c r="X5" i="22"/>
  <c r="C8" i="23" s="1"/>
  <c r="J8" i="23" s="1"/>
  <c r="V63" i="12"/>
  <c r="U63" i="12"/>
  <c r="S13" i="22"/>
  <c r="B76" i="19"/>
  <c r="B81" i="19" s="1"/>
  <c r="E69" i="21"/>
  <c r="E69" i="19"/>
  <c r="E69" i="20"/>
  <c r="T69" i="20"/>
  <c r="T69" i="21"/>
  <c r="T69" i="19"/>
  <c r="V38" i="20"/>
  <c r="V38" i="21"/>
  <c r="V38" i="19"/>
  <c r="H10" i="20"/>
  <c r="H10" i="19"/>
  <c r="H10" i="21"/>
  <c r="T38" i="20"/>
  <c r="T38" i="21"/>
  <c r="T38" i="19"/>
  <c r="M38" i="20"/>
  <c r="M38" i="21"/>
  <c r="M38" i="19"/>
  <c r="E76" i="20"/>
  <c r="M64" i="21"/>
  <c r="B24" i="21"/>
  <c r="T64" i="20"/>
  <c r="D64" i="19"/>
  <c r="O64" i="20"/>
  <c r="I64" i="19"/>
  <c r="U64" i="19"/>
  <c r="X48" i="20"/>
  <c r="L71" i="21"/>
  <c r="L71" i="20"/>
  <c r="L71" i="19"/>
  <c r="P69" i="20"/>
  <c r="P69" i="21"/>
  <c r="P69" i="19"/>
  <c r="O71" i="21"/>
  <c r="O71" i="19"/>
  <c r="O71" i="20"/>
  <c r="J69" i="21"/>
  <c r="J69" i="20"/>
  <c r="J69" i="19"/>
  <c r="F10" i="20"/>
  <c r="F10" i="21"/>
  <c r="F10" i="19"/>
  <c r="I10" i="20"/>
  <c r="I10" i="21"/>
  <c r="I10" i="19"/>
  <c r="P71" i="21"/>
  <c r="P71" i="20"/>
  <c r="P71" i="19"/>
  <c r="N69" i="21"/>
  <c r="N69" i="20"/>
  <c r="N69" i="19"/>
  <c r="U71" i="21"/>
  <c r="U71" i="19"/>
  <c r="U71" i="20"/>
  <c r="R71" i="20"/>
  <c r="R71" i="21"/>
  <c r="R71" i="19"/>
  <c r="M71" i="21"/>
  <c r="M71" i="19"/>
  <c r="M71" i="20"/>
  <c r="L69" i="20"/>
  <c r="L69" i="21"/>
  <c r="L69" i="19"/>
  <c r="Q69" i="21"/>
  <c r="Q69" i="19"/>
  <c r="Q69" i="20"/>
  <c r="R69" i="21"/>
  <c r="R69" i="20"/>
  <c r="R69" i="19"/>
  <c r="V21" i="19"/>
  <c r="V66" i="19" s="1"/>
  <c r="V21" i="20"/>
  <c r="V66" i="20" s="1"/>
  <c r="V21" i="21"/>
  <c r="V66" i="21" s="1"/>
  <c r="D10" i="20"/>
  <c r="D10" i="19"/>
  <c r="D10" i="21"/>
  <c r="U10" i="20"/>
  <c r="U10" i="21"/>
  <c r="U10" i="19"/>
  <c r="N10" i="20"/>
  <c r="N10" i="21"/>
  <c r="N10" i="19"/>
  <c r="H38" i="20"/>
  <c r="H38" i="21"/>
  <c r="H38" i="19"/>
  <c r="P10" i="20"/>
  <c r="P10" i="21"/>
  <c r="P10" i="19"/>
  <c r="Q10" i="20"/>
  <c r="Q10" i="21"/>
  <c r="Q10" i="19"/>
  <c r="C38" i="20"/>
  <c r="C38" i="21"/>
  <c r="C38" i="19"/>
  <c r="J10" i="20"/>
  <c r="J10" i="21"/>
  <c r="J10" i="19"/>
  <c r="G10" i="21"/>
  <c r="G10" i="20"/>
  <c r="G10" i="19"/>
  <c r="U38" i="20"/>
  <c r="U38" i="21"/>
  <c r="U38" i="19"/>
  <c r="W5" i="21"/>
  <c r="B7" i="21"/>
  <c r="X5" i="21"/>
  <c r="D7" i="21"/>
  <c r="E76" i="21"/>
  <c r="T64" i="21"/>
  <c r="M64" i="20"/>
  <c r="J64" i="19"/>
  <c r="V15" i="21"/>
  <c r="W11" i="21"/>
  <c r="X11" i="21"/>
  <c r="O64" i="21"/>
  <c r="X33" i="21"/>
  <c r="W33" i="21"/>
  <c r="B35" i="21"/>
  <c r="F76" i="19"/>
  <c r="C76" i="20"/>
  <c r="R26" i="19"/>
  <c r="R66" i="19"/>
  <c r="W5" i="19"/>
  <c r="X5" i="19"/>
  <c r="B7" i="19"/>
  <c r="W7" i="19" s="1"/>
  <c r="X33" i="20"/>
  <c r="W33" i="20"/>
  <c r="B35" i="20"/>
  <c r="C53" i="21"/>
  <c r="B59" i="21" s="1"/>
  <c r="B100" i="21"/>
  <c r="F76" i="21"/>
  <c r="V64" i="20"/>
  <c r="X33" i="13"/>
  <c r="W48" i="19"/>
  <c r="I69" i="21"/>
  <c r="I69" i="19"/>
  <c r="I69" i="20"/>
  <c r="M10" i="20"/>
  <c r="M10" i="21"/>
  <c r="M10" i="19"/>
  <c r="O38" i="20"/>
  <c r="O38" i="21"/>
  <c r="O38" i="19"/>
  <c r="Q38" i="20"/>
  <c r="Q38" i="21"/>
  <c r="Q38" i="19"/>
  <c r="E10" i="20"/>
  <c r="E10" i="21"/>
  <c r="E10" i="19"/>
  <c r="S10" i="21"/>
  <c r="S10" i="20"/>
  <c r="S10" i="19"/>
  <c r="S19" i="20"/>
  <c r="X19" i="20" s="1"/>
  <c r="S19" i="21"/>
  <c r="W19" i="21" s="1"/>
  <c r="S19" i="19"/>
  <c r="S64" i="19" s="1"/>
  <c r="I71" i="21"/>
  <c r="I71" i="19"/>
  <c r="I71" i="20"/>
  <c r="O69" i="20"/>
  <c r="O69" i="21"/>
  <c r="O69" i="19"/>
  <c r="U69" i="21"/>
  <c r="U69" i="19"/>
  <c r="U69" i="20"/>
  <c r="K69" i="20"/>
  <c r="K69" i="21"/>
  <c r="K69" i="19"/>
  <c r="L10" i="20"/>
  <c r="L10" i="21"/>
  <c r="L10" i="19"/>
  <c r="F38" i="20"/>
  <c r="F38" i="21"/>
  <c r="F38" i="19"/>
  <c r="V10" i="20"/>
  <c r="V10" i="21"/>
  <c r="V10" i="19"/>
  <c r="P38" i="20"/>
  <c r="P38" i="21"/>
  <c r="P38" i="19"/>
  <c r="B10" i="20"/>
  <c r="B10" i="21"/>
  <c r="B10" i="19"/>
  <c r="J38" i="20"/>
  <c r="J38" i="21"/>
  <c r="J38" i="19"/>
  <c r="K38" i="20"/>
  <c r="K38" i="21"/>
  <c r="K38" i="19"/>
  <c r="R10" i="20"/>
  <c r="R10" i="21"/>
  <c r="R10" i="19"/>
  <c r="D38" i="20"/>
  <c r="D38" i="21"/>
  <c r="D38" i="19"/>
  <c r="C10" i="21"/>
  <c r="C10" i="20"/>
  <c r="C10" i="19"/>
  <c r="B24" i="20"/>
  <c r="T64" i="19"/>
  <c r="W33" i="19"/>
  <c r="X33" i="19"/>
  <c r="B35" i="19"/>
  <c r="F76" i="20"/>
  <c r="V15" i="20"/>
  <c r="W11" i="20"/>
  <c r="X11" i="20"/>
  <c r="O64" i="19"/>
  <c r="D64" i="21"/>
  <c r="C53" i="19"/>
  <c r="B59" i="19" s="1"/>
  <c r="B100" i="19"/>
  <c r="G76" i="21"/>
  <c r="J64" i="21"/>
  <c r="I64" i="21"/>
  <c r="I76" i="21" s="1"/>
  <c r="R26" i="20"/>
  <c r="R66" i="20"/>
  <c r="M64" i="19"/>
  <c r="V64" i="21"/>
  <c r="U64" i="21"/>
  <c r="W33" i="13"/>
  <c r="G76" i="20"/>
  <c r="B64" i="21"/>
  <c r="M69" i="21"/>
  <c r="M69" i="19"/>
  <c r="M69" i="20"/>
  <c r="S21" i="21"/>
  <c r="S66" i="21" s="1"/>
  <c r="S21" i="20"/>
  <c r="S66" i="20" s="1"/>
  <c r="S21" i="19"/>
  <c r="S66" i="19" s="1"/>
  <c r="T10" i="20"/>
  <c r="T10" i="19"/>
  <c r="T10" i="21"/>
  <c r="N38" i="20"/>
  <c r="N38" i="21"/>
  <c r="N38" i="19"/>
  <c r="G38" i="20"/>
  <c r="G38" i="21"/>
  <c r="G38" i="19"/>
  <c r="B38" i="20"/>
  <c r="B38" i="21"/>
  <c r="B38" i="19"/>
  <c r="I38" i="20"/>
  <c r="I38" i="21"/>
  <c r="I38" i="19"/>
  <c r="R38" i="20"/>
  <c r="R38" i="21"/>
  <c r="R38" i="19"/>
  <c r="S38" i="20"/>
  <c r="S38" i="21"/>
  <c r="S38" i="19"/>
  <c r="O10" i="21"/>
  <c r="O10" i="20"/>
  <c r="O10" i="19"/>
  <c r="L38" i="20"/>
  <c r="L38" i="21"/>
  <c r="L38" i="19"/>
  <c r="K10" i="21"/>
  <c r="K10" i="20"/>
  <c r="K10" i="19"/>
  <c r="E38" i="20"/>
  <c r="E38" i="21"/>
  <c r="E38" i="19"/>
  <c r="C76" i="21"/>
  <c r="D64" i="20"/>
  <c r="P64" i="21"/>
  <c r="B24" i="19"/>
  <c r="X5" i="20"/>
  <c r="W5" i="20"/>
  <c r="B7" i="20"/>
  <c r="V15" i="19"/>
  <c r="W11" i="19"/>
  <c r="X11" i="19"/>
  <c r="C76" i="19"/>
  <c r="E76" i="19"/>
  <c r="P64" i="20"/>
  <c r="C53" i="20"/>
  <c r="B100" i="20"/>
  <c r="I64" i="20"/>
  <c r="R26" i="21"/>
  <c r="R66" i="21"/>
  <c r="J64" i="20"/>
  <c r="P64" i="19"/>
  <c r="V64" i="19"/>
  <c r="U64" i="20"/>
  <c r="H76" i="13"/>
  <c r="X48" i="19"/>
  <c r="B64" i="20"/>
  <c r="X48" i="21"/>
  <c r="W48" i="21"/>
  <c r="B69" i="19"/>
  <c r="B69" i="21"/>
  <c r="B69" i="20"/>
  <c r="G55" i="20"/>
  <c r="F61" i="20" s="1"/>
  <c r="H78" i="20"/>
  <c r="H76" i="20"/>
  <c r="I74" i="20"/>
  <c r="J2" i="20"/>
  <c r="E61" i="20"/>
  <c r="E83" i="20"/>
  <c r="J74" i="21"/>
  <c r="K2" i="21"/>
  <c r="H55" i="21"/>
  <c r="I78" i="21"/>
  <c r="G55" i="19"/>
  <c r="H78" i="19"/>
  <c r="H76" i="19"/>
  <c r="I74" i="19"/>
  <c r="J2" i="19"/>
  <c r="S19" i="17"/>
  <c r="W19" i="17" s="1"/>
  <c r="S19" i="18"/>
  <c r="W19" i="18" s="1"/>
  <c r="I71" i="17"/>
  <c r="I71" i="18"/>
  <c r="V69" i="18"/>
  <c r="V69" i="17"/>
  <c r="M69" i="18"/>
  <c r="M69" i="17"/>
  <c r="E69" i="18"/>
  <c r="E69" i="17"/>
  <c r="L69" i="18"/>
  <c r="L69" i="17"/>
  <c r="Q69" i="18"/>
  <c r="Q69" i="17"/>
  <c r="T10" i="18"/>
  <c r="T10" i="17"/>
  <c r="N38" i="17"/>
  <c r="N38" i="18"/>
  <c r="N38" i="13"/>
  <c r="N49" i="13" s="1"/>
  <c r="G38" i="13"/>
  <c r="G49" i="13" s="1"/>
  <c r="G38" i="17"/>
  <c r="G38" i="18"/>
  <c r="B38" i="17"/>
  <c r="B38" i="18"/>
  <c r="B38" i="13"/>
  <c r="B49" i="13" s="1"/>
  <c r="I38" i="18"/>
  <c r="I38" i="13"/>
  <c r="I49" i="13" s="1"/>
  <c r="I38" i="17"/>
  <c r="R38" i="17"/>
  <c r="R38" i="18"/>
  <c r="R38" i="13"/>
  <c r="R49" i="13" s="1"/>
  <c r="S38" i="13"/>
  <c r="S49" i="13" s="1"/>
  <c r="S38" i="17"/>
  <c r="S38" i="18"/>
  <c r="O10" i="18"/>
  <c r="O10" i="17"/>
  <c r="L38" i="13"/>
  <c r="L49" i="13" s="1"/>
  <c r="L38" i="17"/>
  <c r="L38" i="18"/>
  <c r="K10" i="18"/>
  <c r="K10" i="17"/>
  <c r="E38" i="18"/>
  <c r="E38" i="17"/>
  <c r="E38" i="13"/>
  <c r="E49" i="13" s="1"/>
  <c r="V64" i="18"/>
  <c r="U64" i="17"/>
  <c r="I64" i="17"/>
  <c r="I76" i="17" s="1"/>
  <c r="F76" i="17"/>
  <c r="O64" i="17"/>
  <c r="T64" i="18"/>
  <c r="D64" i="18"/>
  <c r="R26" i="18"/>
  <c r="R66" i="18"/>
  <c r="W33" i="17"/>
  <c r="X33" i="17"/>
  <c r="B35" i="17"/>
  <c r="E76" i="18"/>
  <c r="C76" i="17"/>
  <c r="G76" i="17"/>
  <c r="M64" i="17"/>
  <c r="X35" i="18"/>
  <c r="W35" i="18"/>
  <c r="B107" i="18"/>
  <c r="B69" i="18"/>
  <c r="B69" i="17"/>
  <c r="I69" i="18"/>
  <c r="I69" i="17"/>
  <c r="S21" i="18"/>
  <c r="S66" i="18" s="1"/>
  <c r="S21" i="17"/>
  <c r="S66" i="17" s="1"/>
  <c r="M10" i="17"/>
  <c r="M10" i="18"/>
  <c r="V38" i="17"/>
  <c r="V38" i="18"/>
  <c r="V38" i="13"/>
  <c r="V49" i="13" s="1"/>
  <c r="O38" i="13"/>
  <c r="O49" i="13" s="1"/>
  <c r="O38" i="17"/>
  <c r="O38" i="18"/>
  <c r="F10" i="18"/>
  <c r="F10" i="17"/>
  <c r="Q38" i="18"/>
  <c r="Q38" i="17"/>
  <c r="Q38" i="13"/>
  <c r="Q49" i="13" s="1"/>
  <c r="H10" i="17"/>
  <c r="H10" i="18"/>
  <c r="I10" i="17"/>
  <c r="I10" i="18"/>
  <c r="E10" i="17"/>
  <c r="E10" i="18"/>
  <c r="T38" i="13"/>
  <c r="T49" i="13" s="1"/>
  <c r="T38" i="17"/>
  <c r="T38" i="18"/>
  <c r="S10" i="18"/>
  <c r="S10" i="17"/>
  <c r="M38" i="18"/>
  <c r="M38" i="17"/>
  <c r="M38" i="13"/>
  <c r="M49" i="13" s="1"/>
  <c r="C76" i="18"/>
  <c r="V15" i="18"/>
  <c r="W11" i="18"/>
  <c r="X11" i="18"/>
  <c r="B100" i="18"/>
  <c r="C53" i="18"/>
  <c r="B59" i="18" s="1"/>
  <c r="B76" i="17"/>
  <c r="B81" i="17" s="1"/>
  <c r="O64" i="18"/>
  <c r="T64" i="17"/>
  <c r="R26" i="17"/>
  <c r="R66" i="17"/>
  <c r="L71" i="18"/>
  <c r="L71" i="17"/>
  <c r="P69" i="18"/>
  <c r="P69" i="17"/>
  <c r="T69" i="18"/>
  <c r="T69" i="17"/>
  <c r="U71" i="17"/>
  <c r="U71" i="18"/>
  <c r="R71" i="18"/>
  <c r="R71" i="17"/>
  <c r="M71" i="17"/>
  <c r="M71" i="18"/>
  <c r="K69" i="17"/>
  <c r="K69" i="18"/>
  <c r="J69" i="18"/>
  <c r="J69" i="17"/>
  <c r="D10" i="18"/>
  <c r="D10" i="17"/>
  <c r="U10" i="17"/>
  <c r="U10" i="18"/>
  <c r="N10" i="18"/>
  <c r="N10" i="17"/>
  <c r="H38" i="18"/>
  <c r="H38" i="13"/>
  <c r="H49" i="13" s="1"/>
  <c r="H38" i="17"/>
  <c r="P10" i="17"/>
  <c r="P10" i="18"/>
  <c r="Q10" i="17"/>
  <c r="Q10" i="18"/>
  <c r="C38" i="13"/>
  <c r="C49" i="13" s="1"/>
  <c r="C38" i="17"/>
  <c r="C38" i="18"/>
  <c r="J10" i="18"/>
  <c r="J10" i="17"/>
  <c r="G10" i="18"/>
  <c r="G10" i="17"/>
  <c r="U38" i="18"/>
  <c r="U38" i="13"/>
  <c r="U49" i="13" s="1"/>
  <c r="U38" i="17"/>
  <c r="J64" i="18"/>
  <c r="V15" i="17"/>
  <c r="W11" i="17"/>
  <c r="X11" i="17"/>
  <c r="P64" i="17"/>
  <c r="B24" i="18"/>
  <c r="W5" i="17"/>
  <c r="B7" i="17"/>
  <c r="F76" i="18"/>
  <c r="D64" i="17"/>
  <c r="E76" i="17"/>
  <c r="P71" i="18"/>
  <c r="P71" i="17"/>
  <c r="N69" i="18"/>
  <c r="N69" i="17"/>
  <c r="O69" i="17"/>
  <c r="O69" i="18"/>
  <c r="U69" i="18"/>
  <c r="U69" i="17"/>
  <c r="O71" i="18"/>
  <c r="O71" i="17"/>
  <c r="R69" i="18"/>
  <c r="R69" i="17"/>
  <c r="V21" i="18"/>
  <c r="V66" i="18" s="1"/>
  <c r="V21" i="17"/>
  <c r="V66" i="17" s="1"/>
  <c r="L10" i="17"/>
  <c r="L10" i="18"/>
  <c r="F38" i="17"/>
  <c r="F38" i="18"/>
  <c r="F38" i="13"/>
  <c r="F49" i="13" s="1"/>
  <c r="V10" i="18"/>
  <c r="V10" i="17"/>
  <c r="P38" i="13"/>
  <c r="P49" i="13" s="1"/>
  <c r="P38" i="17"/>
  <c r="P38" i="18"/>
  <c r="B10" i="18"/>
  <c r="B10" i="17"/>
  <c r="J38" i="17"/>
  <c r="J38" i="18"/>
  <c r="J38" i="13"/>
  <c r="J49" i="13" s="1"/>
  <c r="K38" i="13"/>
  <c r="K49" i="13" s="1"/>
  <c r="K38" i="17"/>
  <c r="K38" i="18"/>
  <c r="R10" i="18"/>
  <c r="R10" i="17"/>
  <c r="D38" i="13"/>
  <c r="D49" i="13" s="1"/>
  <c r="D38" i="17"/>
  <c r="D38" i="18"/>
  <c r="C10" i="18"/>
  <c r="C10" i="17"/>
  <c r="M64" i="18"/>
  <c r="V64" i="17"/>
  <c r="U64" i="18"/>
  <c r="I64" i="18"/>
  <c r="W5" i="18"/>
  <c r="X5" i="18"/>
  <c r="B7" i="18"/>
  <c r="B100" i="17"/>
  <c r="C53" i="17"/>
  <c r="B24" i="17"/>
  <c r="P64" i="18"/>
  <c r="J64" i="17"/>
  <c r="X5" i="17"/>
  <c r="X5" i="13"/>
  <c r="W41" i="17"/>
  <c r="X41" i="18"/>
  <c r="U65" i="12"/>
  <c r="X48" i="18"/>
  <c r="W48" i="17"/>
  <c r="W33" i="18"/>
  <c r="R25" i="12"/>
  <c r="B64" i="18"/>
  <c r="W48" i="18"/>
  <c r="W41" i="18"/>
  <c r="X33" i="18"/>
  <c r="H78" i="18"/>
  <c r="H76" i="18"/>
  <c r="I74" i="18"/>
  <c r="G55" i="18"/>
  <c r="F61" i="18" s="1"/>
  <c r="E61" i="18"/>
  <c r="G55" i="17"/>
  <c r="F61" i="17" s="1"/>
  <c r="I78" i="17"/>
  <c r="E61" i="17"/>
  <c r="J74" i="17"/>
  <c r="K2" i="17"/>
  <c r="X35" i="13"/>
  <c r="O10" i="13"/>
  <c r="K10" i="13"/>
  <c r="B64" i="13"/>
  <c r="B76" i="13" s="1"/>
  <c r="B24" i="13"/>
  <c r="R26" i="13"/>
  <c r="S18" i="12"/>
  <c r="W18" i="12" s="1"/>
  <c r="S19" i="13"/>
  <c r="S64" i="13" s="1"/>
  <c r="I70" i="12"/>
  <c r="I77" i="12" s="1"/>
  <c r="I71" i="13"/>
  <c r="V68" i="12"/>
  <c r="V75" i="12" s="1"/>
  <c r="V69" i="13"/>
  <c r="M69" i="13"/>
  <c r="E69" i="13"/>
  <c r="L69" i="13"/>
  <c r="Q69" i="13"/>
  <c r="S20" i="12"/>
  <c r="S21" i="13"/>
  <c r="M10" i="13"/>
  <c r="F10" i="13"/>
  <c r="H10" i="13"/>
  <c r="I10" i="13"/>
  <c r="E10" i="13"/>
  <c r="S10" i="13"/>
  <c r="J64" i="13"/>
  <c r="C83" i="13"/>
  <c r="Q64" i="13"/>
  <c r="O64" i="13"/>
  <c r="L64" i="13"/>
  <c r="W7" i="13"/>
  <c r="X7" i="13"/>
  <c r="T63" i="12"/>
  <c r="R66" i="13"/>
  <c r="W35" i="13"/>
  <c r="N69" i="13"/>
  <c r="U68" i="12"/>
  <c r="U75" i="12" s="1"/>
  <c r="U69" i="13"/>
  <c r="R69" i="13"/>
  <c r="T10" i="13"/>
  <c r="T64" i="13"/>
  <c r="U64" i="13"/>
  <c r="B69" i="13"/>
  <c r="I69" i="13"/>
  <c r="J69" i="13"/>
  <c r="S49" i="12"/>
  <c r="D10" i="13"/>
  <c r="U10" i="13"/>
  <c r="N10" i="13"/>
  <c r="P10" i="13"/>
  <c r="Q10" i="13"/>
  <c r="J10" i="13"/>
  <c r="G10" i="13"/>
  <c r="M64" i="13"/>
  <c r="V64" i="13"/>
  <c r="B61" i="13"/>
  <c r="D55" i="13"/>
  <c r="X41" i="13"/>
  <c r="P70" i="12"/>
  <c r="P77" i="12" s="1"/>
  <c r="P71" i="13"/>
  <c r="O69" i="13"/>
  <c r="O70" i="12"/>
  <c r="O77" i="12" s="1"/>
  <c r="O71" i="13"/>
  <c r="J38" i="3"/>
  <c r="J39" i="3" s="1"/>
  <c r="L70" i="12"/>
  <c r="L77" i="12" s="1"/>
  <c r="L71" i="13"/>
  <c r="P69" i="13"/>
  <c r="T69" i="13"/>
  <c r="U70" i="12"/>
  <c r="U77" i="12" s="1"/>
  <c r="U71" i="13"/>
  <c r="R70" i="12"/>
  <c r="R77" i="12" s="1"/>
  <c r="R71" i="13"/>
  <c r="M70" i="12"/>
  <c r="M77" i="12" s="1"/>
  <c r="M71" i="13"/>
  <c r="K69" i="13"/>
  <c r="V21" i="13"/>
  <c r="L10" i="13"/>
  <c r="V10" i="13"/>
  <c r="B10" i="13"/>
  <c r="R10" i="13"/>
  <c r="C10" i="13"/>
  <c r="B100" i="13"/>
  <c r="C53" i="13"/>
  <c r="B59" i="13" s="1"/>
  <c r="K64" i="13"/>
  <c r="P64" i="13"/>
  <c r="V15" i="13"/>
  <c r="W11" i="13"/>
  <c r="X11" i="13"/>
  <c r="B109" i="13"/>
  <c r="X107" i="13"/>
  <c r="W41" i="13"/>
  <c r="V66" i="13"/>
  <c r="W5" i="13"/>
  <c r="I74" i="13"/>
  <c r="I78" i="13" s="1"/>
  <c r="J2" i="13"/>
  <c r="C50" i="2"/>
  <c r="D50" i="2" s="1"/>
  <c r="E50" i="2" s="1"/>
  <c r="F50" i="2" s="1"/>
  <c r="G50" i="2" s="1"/>
  <c r="H50" i="2" s="1"/>
  <c r="I50" i="2" s="1"/>
  <c r="J50" i="2" s="1"/>
  <c r="K50" i="2" s="1"/>
  <c r="L50" i="2" s="1"/>
  <c r="M50" i="2" s="1"/>
  <c r="N50" i="2" s="1"/>
  <c r="O50" i="2" s="1"/>
  <c r="P50" i="2" s="1"/>
  <c r="Q50" i="2" s="1"/>
  <c r="R50" i="2" s="1"/>
  <c r="S50" i="2" s="1"/>
  <c r="T50" i="2" s="1"/>
  <c r="U50" i="2" s="1"/>
  <c r="V50" i="2" s="1"/>
  <c r="W50" i="2" s="1"/>
  <c r="S34" i="3"/>
  <c r="X10" i="12"/>
  <c r="X32" i="3"/>
  <c r="W13" i="3"/>
  <c r="E42" i="7"/>
  <c r="E46" i="7" s="1"/>
  <c r="E47" i="7" s="1"/>
  <c r="E48" i="7" s="1"/>
  <c r="X13" i="3"/>
  <c r="B18" i="5"/>
  <c r="B11" i="22" s="1"/>
  <c r="L9" i="12"/>
  <c r="L11" i="12" s="1"/>
  <c r="I9" i="12"/>
  <c r="I11" i="12" s="1"/>
  <c r="R9" i="12"/>
  <c r="R11" i="12" s="1"/>
  <c r="T9" i="12"/>
  <c r="T11" i="12" s="1"/>
  <c r="B37" i="12"/>
  <c r="B9" i="12"/>
  <c r="Q9" i="12"/>
  <c r="Q11" i="12" s="1"/>
  <c r="G9" i="12"/>
  <c r="G11" i="12" s="1"/>
  <c r="E37" i="12"/>
  <c r="E39" i="12" s="1"/>
  <c r="F107" i="12" s="1"/>
  <c r="U9" i="12"/>
  <c r="U11" i="12" s="1"/>
  <c r="F9" i="12"/>
  <c r="F11" i="12" s="1"/>
  <c r="I37" i="12"/>
  <c r="I39" i="12" s="1"/>
  <c r="J107" i="12" s="1"/>
  <c r="O9" i="12"/>
  <c r="O11" i="12" s="1"/>
  <c r="M37" i="12"/>
  <c r="M39" i="12" s="1"/>
  <c r="N107" i="12" s="1"/>
  <c r="F37" i="12"/>
  <c r="F39" i="12" s="1"/>
  <c r="G107" i="12" s="1"/>
  <c r="N9" i="12"/>
  <c r="N11" i="12" s="1"/>
  <c r="Q37" i="12"/>
  <c r="Q39" i="12" s="1"/>
  <c r="R107" i="12" s="1"/>
  <c r="J37" i="12"/>
  <c r="J39" i="12" s="1"/>
  <c r="K107" i="12" s="1"/>
  <c r="E9" i="12"/>
  <c r="E11" i="12" s="1"/>
  <c r="D37" i="12"/>
  <c r="D39" i="12" s="1"/>
  <c r="E107" i="12" s="1"/>
  <c r="U37" i="12"/>
  <c r="U39" i="12" s="1"/>
  <c r="V107" i="12" s="1"/>
  <c r="M9" i="12"/>
  <c r="M11" i="12" s="1"/>
  <c r="N37" i="12"/>
  <c r="N39" i="12" s="1"/>
  <c r="O107" i="12" s="1"/>
  <c r="V9" i="12"/>
  <c r="V11" i="12" s="1"/>
  <c r="R37" i="12"/>
  <c r="R39" i="12" s="1"/>
  <c r="S107" i="12" s="1"/>
  <c r="C37" i="12"/>
  <c r="C39" i="12" s="1"/>
  <c r="D107" i="12" s="1"/>
  <c r="L37" i="12"/>
  <c r="L39" i="12" s="1"/>
  <c r="M107" i="12" s="1"/>
  <c r="V37" i="12"/>
  <c r="V39" i="12" s="1"/>
  <c r="K37" i="12"/>
  <c r="K39" i="12" s="1"/>
  <c r="L107" i="12" s="1"/>
  <c r="T37" i="12"/>
  <c r="T39" i="12" s="1"/>
  <c r="U107" i="12" s="1"/>
  <c r="C9" i="12"/>
  <c r="C11" i="12" s="1"/>
  <c r="G37" i="12"/>
  <c r="G39" i="12" s="1"/>
  <c r="H107" i="12" s="1"/>
  <c r="H37" i="12"/>
  <c r="H39" i="12" s="1"/>
  <c r="I107" i="12" s="1"/>
  <c r="H9" i="12"/>
  <c r="H11" i="12" s="1"/>
  <c r="S37" i="12"/>
  <c r="S39" i="12" s="1"/>
  <c r="T107" i="12" s="1"/>
  <c r="K9" i="12"/>
  <c r="K11" i="12" s="1"/>
  <c r="D9" i="12"/>
  <c r="D11" i="12" s="1"/>
  <c r="O37" i="12"/>
  <c r="O39" i="12" s="1"/>
  <c r="P107" i="12" s="1"/>
  <c r="P37" i="12"/>
  <c r="P39" i="12" s="1"/>
  <c r="Q107" i="12" s="1"/>
  <c r="P9" i="12"/>
  <c r="P11" i="12" s="1"/>
  <c r="J9" i="12"/>
  <c r="J11" i="12" s="1"/>
  <c r="S9" i="12"/>
  <c r="S11" i="12" s="1"/>
  <c r="V18" i="5"/>
  <c r="V11" i="22" s="1"/>
  <c r="V32" i="12"/>
  <c r="M4" i="12"/>
  <c r="M7" i="5"/>
  <c r="K18" i="5"/>
  <c r="K11" i="22" s="1"/>
  <c r="K32" i="12"/>
  <c r="T18" i="5"/>
  <c r="T11" i="22" s="1"/>
  <c r="T32" i="12"/>
  <c r="H4" i="12"/>
  <c r="H7" i="5"/>
  <c r="G18" i="5"/>
  <c r="G11" i="22" s="1"/>
  <c r="G32" i="12"/>
  <c r="H32" i="12"/>
  <c r="H18" i="5"/>
  <c r="H11" i="22" s="1"/>
  <c r="H58" i="22" s="1"/>
  <c r="U4" i="12"/>
  <c r="U7" i="5"/>
  <c r="S18" i="5"/>
  <c r="S32" i="12"/>
  <c r="P4" i="12"/>
  <c r="P7" i="5"/>
  <c r="B32" i="12"/>
  <c r="O18" i="5"/>
  <c r="O11" i="22" s="1"/>
  <c r="O32" i="12"/>
  <c r="P32" i="12"/>
  <c r="P18" i="5"/>
  <c r="P11" i="22" s="1"/>
  <c r="G7" i="5"/>
  <c r="G4" i="12"/>
  <c r="I4" i="12"/>
  <c r="I7" i="5"/>
  <c r="I18" i="5"/>
  <c r="I11" i="22" s="1"/>
  <c r="I32" i="12"/>
  <c r="O7" i="5"/>
  <c r="O4" i="12"/>
  <c r="N4" i="12"/>
  <c r="N7" i="5"/>
  <c r="Q7" i="5"/>
  <c r="Q4" i="12"/>
  <c r="C7" i="5"/>
  <c r="C7" i="22" s="1"/>
  <c r="C4" i="12"/>
  <c r="Q32" i="12"/>
  <c r="Q18" i="5"/>
  <c r="Q11" i="22" s="1"/>
  <c r="J18" i="5"/>
  <c r="J32" i="12"/>
  <c r="B4" i="12"/>
  <c r="E18" i="5"/>
  <c r="E11" i="22" s="1"/>
  <c r="E32" i="12"/>
  <c r="R4" i="12"/>
  <c r="R7" i="5"/>
  <c r="K7" i="5"/>
  <c r="K4" i="12"/>
  <c r="R18" i="5"/>
  <c r="R11" i="22" s="1"/>
  <c r="R32" i="12"/>
  <c r="J4" i="12"/>
  <c r="J7" i="5"/>
  <c r="M18" i="5"/>
  <c r="M11" i="22" s="1"/>
  <c r="M32" i="12"/>
  <c r="F4" i="12"/>
  <c r="F7" i="5"/>
  <c r="F18" i="5"/>
  <c r="F11" i="22" s="1"/>
  <c r="F32" i="12"/>
  <c r="S7" i="5"/>
  <c r="S4" i="12"/>
  <c r="D4" i="12"/>
  <c r="D7" i="5"/>
  <c r="V7" i="5"/>
  <c r="V4" i="12"/>
  <c r="D18" i="5"/>
  <c r="D32" i="12"/>
  <c r="U18" i="5"/>
  <c r="U11" i="22" s="1"/>
  <c r="U32" i="12"/>
  <c r="T4" i="12"/>
  <c r="T7" i="5"/>
  <c r="N18" i="5"/>
  <c r="N11" i="22" s="1"/>
  <c r="N32" i="12"/>
  <c r="L4" i="12"/>
  <c r="L7" i="5"/>
  <c r="E4" i="12"/>
  <c r="E7" i="5"/>
  <c r="C32" i="12"/>
  <c r="C18" i="5"/>
  <c r="C11" i="22" s="1"/>
  <c r="L18" i="5"/>
  <c r="L11" i="22" s="1"/>
  <c r="L32" i="12"/>
  <c r="B60" i="12"/>
  <c r="X16" i="2"/>
  <c r="W13" i="2"/>
  <c r="R39" i="3"/>
  <c r="C14" i="2"/>
  <c r="D14" i="2" s="1"/>
  <c r="J49" i="12"/>
  <c r="J65" i="12" s="1"/>
  <c r="X38" i="12"/>
  <c r="J33" i="3"/>
  <c r="K33" i="3" s="1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W38" i="12"/>
  <c r="V15" i="3"/>
  <c r="V20" i="12"/>
  <c r="V42" i="12"/>
  <c r="V14" i="12"/>
  <c r="X14" i="12" s="1"/>
  <c r="V38" i="3"/>
  <c r="W32" i="3"/>
  <c r="X35" i="3"/>
  <c r="W31" i="3"/>
  <c r="X31" i="3"/>
  <c r="X16" i="3"/>
  <c r="S14" i="3"/>
  <c r="T14" i="3" s="1"/>
  <c r="U14" i="3" s="1"/>
  <c r="V14" i="3" s="1"/>
  <c r="S38" i="3"/>
  <c r="S15" i="3"/>
  <c r="J34" i="3"/>
  <c r="X12" i="3"/>
  <c r="W12" i="3"/>
  <c r="J68" i="12"/>
  <c r="J75" i="12" s="1"/>
  <c r="M39" i="3"/>
  <c r="D82" i="12"/>
  <c r="B87" i="12"/>
  <c r="E54" i="12"/>
  <c r="D60" i="12" s="1"/>
  <c r="E63" i="12"/>
  <c r="L63" i="12"/>
  <c r="Q68" i="12"/>
  <c r="Q75" i="12" s="1"/>
  <c r="M63" i="12"/>
  <c r="R68" i="12"/>
  <c r="R75" i="12" s="1"/>
  <c r="D33" i="2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D47" i="12"/>
  <c r="M68" i="12"/>
  <c r="M75" i="12" s="1"/>
  <c r="E68" i="12"/>
  <c r="E75" i="12" s="1"/>
  <c r="K68" i="12"/>
  <c r="K75" i="12" s="1"/>
  <c r="L68" i="12"/>
  <c r="L75" i="12" s="1"/>
  <c r="I65" i="12"/>
  <c r="J63" i="12"/>
  <c r="X40" i="12"/>
  <c r="W40" i="12"/>
  <c r="P68" i="12"/>
  <c r="P75" i="12" s="1"/>
  <c r="N68" i="12"/>
  <c r="N75" i="12" s="1"/>
  <c r="K63" i="12"/>
  <c r="X12" i="12"/>
  <c r="W12" i="12"/>
  <c r="T68" i="12"/>
  <c r="T75" i="12" s="1"/>
  <c r="O68" i="12"/>
  <c r="O75" i="12" s="1"/>
  <c r="B68" i="12"/>
  <c r="B75" i="12" s="1"/>
  <c r="I68" i="12"/>
  <c r="I75" i="12" s="1"/>
  <c r="B23" i="12"/>
  <c r="B100" i="12" s="1"/>
  <c r="P63" i="12"/>
  <c r="C52" i="12"/>
  <c r="R63" i="12"/>
  <c r="O63" i="12"/>
  <c r="X37" i="2"/>
  <c r="O39" i="3"/>
  <c r="U39" i="3"/>
  <c r="X42" i="2"/>
  <c r="X18" i="2"/>
  <c r="S38" i="2"/>
  <c r="I39" i="3"/>
  <c r="L39" i="3"/>
  <c r="D34" i="2"/>
  <c r="W34" i="2" s="1"/>
  <c r="X35" i="2"/>
  <c r="W32" i="2"/>
  <c r="D38" i="2"/>
  <c r="P39" i="3"/>
  <c r="B7" i="5"/>
  <c r="B7" i="22" s="1"/>
  <c r="E43" i="7"/>
  <c r="E44" i="7" s="1"/>
  <c r="C16" i="3"/>
  <c r="B17" i="3" s="1"/>
  <c r="C35" i="3"/>
  <c r="B40" i="3"/>
  <c r="X18" i="22" l="1"/>
  <c r="C36" i="24"/>
  <c r="E35" i="24"/>
  <c r="E83" i="17"/>
  <c r="D88" i="17" s="1"/>
  <c r="X9" i="22"/>
  <c r="C9" i="23" s="1"/>
  <c r="J9" i="23" s="1"/>
  <c r="L9" i="23" s="1"/>
  <c r="C59" i="22"/>
  <c r="O59" i="22"/>
  <c r="W34" i="3"/>
  <c r="M59" i="22"/>
  <c r="C58" i="22"/>
  <c r="K58" i="22"/>
  <c r="L59" i="22"/>
  <c r="O58" i="22"/>
  <c r="V57" i="22"/>
  <c r="X57" i="22" s="1"/>
  <c r="Y57" i="22" s="1"/>
  <c r="I58" i="22"/>
  <c r="X40" i="24"/>
  <c r="H56" i="24"/>
  <c r="F58" i="22"/>
  <c r="W38" i="24"/>
  <c r="H57" i="24"/>
  <c r="X38" i="24"/>
  <c r="W55" i="22"/>
  <c r="X60" i="22"/>
  <c r="I70" i="22"/>
  <c r="M70" i="22"/>
  <c r="M72" i="22" s="1"/>
  <c r="M64" i="22"/>
  <c r="K70" i="22"/>
  <c r="O70" i="22"/>
  <c r="O72" i="22" s="1"/>
  <c r="O64" i="22"/>
  <c r="N70" i="22"/>
  <c r="N72" i="22" s="1"/>
  <c r="N64" i="22"/>
  <c r="C70" i="22"/>
  <c r="C72" i="22" s="1"/>
  <c r="C64" i="22"/>
  <c r="L70" i="22"/>
  <c r="Q70" i="22"/>
  <c r="Q72" i="22" s="1"/>
  <c r="Q64" i="22"/>
  <c r="B68" i="22"/>
  <c r="X66" i="22"/>
  <c r="W66" i="22"/>
  <c r="M58" i="22"/>
  <c r="R58" i="22"/>
  <c r="G58" i="22"/>
  <c r="T58" i="22"/>
  <c r="E83" i="18"/>
  <c r="D88" i="18" s="1"/>
  <c r="Y9" i="22"/>
  <c r="B59" i="22"/>
  <c r="S70" i="22"/>
  <c r="S72" i="22" s="1"/>
  <c r="S64" i="22"/>
  <c r="E70" i="22"/>
  <c r="H70" i="22"/>
  <c r="T70" i="22"/>
  <c r="T72" i="22" s="1"/>
  <c r="T64" i="22"/>
  <c r="U70" i="22"/>
  <c r="U72" i="22" s="1"/>
  <c r="U64" i="22"/>
  <c r="V70" i="22"/>
  <c r="V72" i="22" s="1"/>
  <c r="V64" i="22"/>
  <c r="R70" i="22"/>
  <c r="R72" i="22" s="1"/>
  <c r="R64" i="22"/>
  <c r="D70" i="22"/>
  <c r="R59" i="22"/>
  <c r="X55" i="22"/>
  <c r="G52" i="3"/>
  <c r="F70" i="22"/>
  <c r="G70" i="22"/>
  <c r="P70" i="22"/>
  <c r="P72" i="22" s="1"/>
  <c r="P64" i="22"/>
  <c r="J70" i="22"/>
  <c r="L58" i="22"/>
  <c r="U58" i="22"/>
  <c r="Q58" i="22"/>
  <c r="D13" i="22"/>
  <c r="X13" i="22" s="1"/>
  <c r="J59" i="22"/>
  <c r="W57" i="22"/>
  <c r="Q59" i="22"/>
  <c r="G59" i="22"/>
  <c r="P59" i="22"/>
  <c r="U59" i="22"/>
  <c r="C54" i="22"/>
  <c r="B20" i="22"/>
  <c r="C20" i="22" s="1"/>
  <c r="B58" i="22"/>
  <c r="V43" i="22"/>
  <c r="W43" i="22" s="1"/>
  <c r="W42" i="22"/>
  <c r="X42" i="22"/>
  <c r="Y42" i="22" s="1"/>
  <c r="W51" i="22"/>
  <c r="B53" i="22"/>
  <c r="B54" i="22" s="1"/>
  <c r="X51" i="22"/>
  <c r="W36" i="22"/>
  <c r="X36" i="22"/>
  <c r="T59" i="22"/>
  <c r="W60" i="22"/>
  <c r="K59" i="22"/>
  <c r="F59" i="22"/>
  <c r="H59" i="22"/>
  <c r="X48" i="22"/>
  <c r="Y49" i="22" s="1"/>
  <c r="W48" i="22"/>
  <c r="W62" i="22"/>
  <c r="B64" i="22"/>
  <c r="X62" i="22"/>
  <c r="B70" i="22"/>
  <c r="B72" i="22" s="1"/>
  <c r="X32" i="22"/>
  <c r="N58" i="22"/>
  <c r="E58" i="22"/>
  <c r="P58" i="22"/>
  <c r="V58" i="22"/>
  <c r="E83" i="19"/>
  <c r="D88" i="19" s="1"/>
  <c r="S59" i="22"/>
  <c r="I59" i="22"/>
  <c r="N59" i="22"/>
  <c r="E59" i="22"/>
  <c r="D59" i="22"/>
  <c r="X20" i="12"/>
  <c r="S64" i="18"/>
  <c r="X64" i="18" s="1"/>
  <c r="N1" i="18" s="1"/>
  <c r="X19" i="22"/>
  <c r="D12" i="23" s="1"/>
  <c r="K12" i="23" s="1"/>
  <c r="M12" i="23" s="1"/>
  <c r="E56" i="24"/>
  <c r="E57" i="24"/>
  <c r="Q37" i="24"/>
  <c r="Q42" i="24" s="1"/>
  <c r="P50" i="24"/>
  <c r="Q50" i="24" s="1"/>
  <c r="R50" i="24" s="1"/>
  <c r="S50" i="24" s="1"/>
  <c r="T50" i="24" s="1"/>
  <c r="U50" i="24" s="1"/>
  <c r="V50" i="24" s="1"/>
  <c r="W50" i="24" s="1"/>
  <c r="W33" i="24"/>
  <c r="F40" i="24"/>
  <c r="E41" i="24" s="1"/>
  <c r="D41" i="24"/>
  <c r="F16" i="24"/>
  <c r="F83" i="21"/>
  <c r="E88" i="21" s="1"/>
  <c r="X19" i="18"/>
  <c r="X7" i="21"/>
  <c r="S7" i="22"/>
  <c r="S11" i="22"/>
  <c r="S58" i="22" s="1"/>
  <c r="E7" i="22"/>
  <c r="E4" i="22" s="1"/>
  <c r="J7" i="22"/>
  <c r="J54" i="22" s="1"/>
  <c r="C4" i="22"/>
  <c r="H7" i="22"/>
  <c r="H54" i="22" s="1"/>
  <c r="D11" i="22"/>
  <c r="N7" i="22"/>
  <c r="N15" i="22" s="1"/>
  <c r="N12" i="22" s="1"/>
  <c r="N73" i="22" s="1"/>
  <c r="X21" i="21"/>
  <c r="S26" i="20"/>
  <c r="T26" i="20" s="1"/>
  <c r="U26" i="20" s="1"/>
  <c r="V26" i="20" s="1"/>
  <c r="W21" i="21"/>
  <c r="V7" i="22"/>
  <c r="V15" i="22" s="1"/>
  <c r="V12" i="22" s="1"/>
  <c r="V73" i="22" s="1"/>
  <c r="K7" i="22"/>
  <c r="I7" i="22"/>
  <c r="F7" i="22"/>
  <c r="F15" i="22" s="1"/>
  <c r="F12" i="22" s="1"/>
  <c r="F73" i="22" s="1"/>
  <c r="J11" i="22"/>
  <c r="G7" i="22"/>
  <c r="L7" i="22"/>
  <c r="T7" i="22"/>
  <c r="D7" i="22"/>
  <c r="R7" i="22"/>
  <c r="R15" i="22" s="1"/>
  <c r="R12" i="22" s="1"/>
  <c r="R73" i="22" s="1"/>
  <c r="Q7" i="22"/>
  <c r="O7" i="22"/>
  <c r="O15" i="22" s="1"/>
  <c r="O12" i="22" s="1"/>
  <c r="O73" i="22" s="1"/>
  <c r="P7" i="22"/>
  <c r="U7" i="22"/>
  <c r="M7" i="22"/>
  <c r="S25" i="12"/>
  <c r="T25" i="12" s="1"/>
  <c r="U25" i="12" s="1"/>
  <c r="V25" i="12" s="1"/>
  <c r="S26" i="21"/>
  <c r="T26" i="21" s="1"/>
  <c r="U26" i="21" s="1"/>
  <c r="V26" i="21" s="1"/>
  <c r="S64" i="21"/>
  <c r="W64" i="21" s="1"/>
  <c r="D9" i="23"/>
  <c r="K9" i="23" s="1"/>
  <c r="M9" i="23" s="1"/>
  <c r="C88" i="21"/>
  <c r="X21" i="20"/>
  <c r="W14" i="22"/>
  <c r="Y14" i="22"/>
  <c r="X14" i="22"/>
  <c r="W13" i="22"/>
  <c r="U8" i="22"/>
  <c r="U69" i="22" s="1"/>
  <c r="B15" i="22"/>
  <c r="B8" i="22"/>
  <c r="M8" i="22"/>
  <c r="M69" i="22" s="1"/>
  <c r="E8" i="22"/>
  <c r="E69" i="22" s="1"/>
  <c r="O8" i="22"/>
  <c r="O69" i="22" s="1"/>
  <c r="T8" i="22"/>
  <c r="T69" i="22" s="1"/>
  <c r="X19" i="17"/>
  <c r="S64" i="17"/>
  <c r="W64" i="17" s="1"/>
  <c r="K8" i="22"/>
  <c r="K69" i="22" s="1"/>
  <c r="I8" i="22"/>
  <c r="I69" i="22" s="1"/>
  <c r="L8" i="22"/>
  <c r="L69" i="22" s="1"/>
  <c r="N8" i="22"/>
  <c r="N69" i="22" s="1"/>
  <c r="Q8" i="22"/>
  <c r="Q69" i="22" s="1"/>
  <c r="P8" i="22"/>
  <c r="P69" i="22" s="1"/>
  <c r="W19" i="19"/>
  <c r="X7" i="19"/>
  <c r="S64" i="20"/>
  <c r="W64" i="20" s="1"/>
  <c r="X19" i="19"/>
  <c r="W19" i="20"/>
  <c r="B4" i="22"/>
  <c r="C15" i="22"/>
  <c r="C12" i="22" s="1"/>
  <c r="C73" i="22" s="1"/>
  <c r="C8" i="22"/>
  <c r="C69" i="22" s="1"/>
  <c r="F8" i="22"/>
  <c r="F69" i="22" s="1"/>
  <c r="R8" i="22"/>
  <c r="R69" i="22" s="1"/>
  <c r="G8" i="22"/>
  <c r="G69" i="22" s="1"/>
  <c r="V8" i="22"/>
  <c r="V69" i="22" s="1"/>
  <c r="H8" i="22"/>
  <c r="H69" i="22" s="1"/>
  <c r="S63" i="12"/>
  <c r="S65" i="12"/>
  <c r="W64" i="19"/>
  <c r="S71" i="21"/>
  <c r="S71" i="19"/>
  <c r="S71" i="20"/>
  <c r="V71" i="20"/>
  <c r="V71" i="21"/>
  <c r="V71" i="19"/>
  <c r="N20" i="20"/>
  <c r="N22" i="20" s="1"/>
  <c r="N20" i="21"/>
  <c r="N22" i="21" s="1"/>
  <c r="N20" i="19"/>
  <c r="N22" i="19" s="1"/>
  <c r="W15" i="19"/>
  <c r="X15" i="19"/>
  <c r="E49" i="19"/>
  <c r="E42" i="19"/>
  <c r="E44" i="19" s="1"/>
  <c r="E40" i="19"/>
  <c r="K14" i="20"/>
  <c r="K16" i="20" s="1"/>
  <c r="K12" i="20"/>
  <c r="K18" i="20" s="1"/>
  <c r="L49" i="20"/>
  <c r="L42" i="20"/>
  <c r="L44" i="20" s="1"/>
  <c r="L40" i="20"/>
  <c r="S42" i="19"/>
  <c r="S44" i="19" s="1"/>
  <c r="S49" i="19"/>
  <c r="S40" i="19"/>
  <c r="R49" i="21"/>
  <c r="R42" i="21"/>
  <c r="R44" i="21" s="1"/>
  <c r="R40" i="21"/>
  <c r="I42" i="20"/>
  <c r="I44" i="20" s="1"/>
  <c r="I40" i="20"/>
  <c r="I49" i="20"/>
  <c r="G42" i="19"/>
  <c r="G44" i="19" s="1"/>
  <c r="G40" i="19"/>
  <c r="G49" i="19"/>
  <c r="N42" i="21"/>
  <c r="N44" i="21" s="1"/>
  <c r="N49" i="21"/>
  <c r="N40" i="21"/>
  <c r="T14" i="20"/>
  <c r="T16" i="20" s="1"/>
  <c r="T12" i="20"/>
  <c r="T18" i="20" s="1"/>
  <c r="C14" i="20"/>
  <c r="C16" i="20" s="1"/>
  <c r="C12" i="20"/>
  <c r="C18" i="20" s="1"/>
  <c r="D42" i="20"/>
  <c r="D44" i="20" s="1"/>
  <c r="D40" i="20"/>
  <c r="D49" i="20"/>
  <c r="K42" i="19"/>
  <c r="K44" i="19" s="1"/>
  <c r="K49" i="19"/>
  <c r="K40" i="19"/>
  <c r="J49" i="21"/>
  <c r="J42" i="21"/>
  <c r="J44" i="21" s="1"/>
  <c r="J40" i="21"/>
  <c r="B14" i="20"/>
  <c r="X10" i="20"/>
  <c r="W10" i="20"/>
  <c r="B12" i="20"/>
  <c r="V14" i="19"/>
  <c r="V16" i="19" s="1"/>
  <c r="V12" i="19"/>
  <c r="V18" i="19" s="1"/>
  <c r="F40" i="21"/>
  <c r="F42" i="21"/>
  <c r="F44" i="21" s="1"/>
  <c r="F49" i="21"/>
  <c r="L14" i="20"/>
  <c r="L16" i="20" s="1"/>
  <c r="L12" i="20"/>
  <c r="L18" i="20" s="1"/>
  <c r="S14" i="19"/>
  <c r="S16" i="19" s="1"/>
  <c r="S12" i="19"/>
  <c r="S18" i="19" s="1"/>
  <c r="E14" i="21"/>
  <c r="E16" i="21" s="1"/>
  <c r="E12" i="21"/>
  <c r="E18" i="21" s="1"/>
  <c r="Q49" i="20"/>
  <c r="Q42" i="20"/>
  <c r="Q44" i="20" s="1"/>
  <c r="Q40" i="20"/>
  <c r="M14" i="19"/>
  <c r="M16" i="19" s="1"/>
  <c r="M12" i="19"/>
  <c r="M18" i="19" s="1"/>
  <c r="G14" i="19"/>
  <c r="G16" i="19" s="1"/>
  <c r="G12" i="19"/>
  <c r="G18" i="19" s="1"/>
  <c r="J14" i="21"/>
  <c r="J16" i="21" s="1"/>
  <c r="J12" i="21"/>
  <c r="J18" i="21" s="1"/>
  <c r="C42" i="20"/>
  <c r="C44" i="20" s="1"/>
  <c r="C49" i="20"/>
  <c r="C40" i="20"/>
  <c r="P14" i="19"/>
  <c r="P16" i="19" s="1"/>
  <c r="P12" i="19"/>
  <c r="P18" i="19" s="1"/>
  <c r="H40" i="21"/>
  <c r="H42" i="21"/>
  <c r="H44" i="21" s="1"/>
  <c r="H49" i="21"/>
  <c r="N14" i="20"/>
  <c r="N16" i="20" s="1"/>
  <c r="N12" i="20"/>
  <c r="N18" i="20" s="1"/>
  <c r="D14" i="21"/>
  <c r="D16" i="21" s="1"/>
  <c r="D12" i="21"/>
  <c r="D18" i="21" s="1"/>
  <c r="I14" i="20"/>
  <c r="I16" i="20" s="1"/>
  <c r="I12" i="20"/>
  <c r="I18" i="20" s="1"/>
  <c r="M42" i="20"/>
  <c r="M44" i="20" s="1"/>
  <c r="M49" i="20"/>
  <c r="M40" i="20"/>
  <c r="H14" i="21"/>
  <c r="H16" i="21" s="1"/>
  <c r="H12" i="21"/>
  <c r="H18" i="21" s="1"/>
  <c r="V42" i="21"/>
  <c r="V44" i="21" s="1"/>
  <c r="V49" i="21"/>
  <c r="V40" i="21"/>
  <c r="V46" i="21" s="1"/>
  <c r="X21" i="13"/>
  <c r="X21" i="19"/>
  <c r="X19" i="21"/>
  <c r="S69" i="20"/>
  <c r="S69" i="21"/>
  <c r="S69" i="19"/>
  <c r="L20" i="21"/>
  <c r="L22" i="21" s="1"/>
  <c r="L20" i="20"/>
  <c r="L22" i="20" s="1"/>
  <c r="L20" i="19"/>
  <c r="L22" i="19" s="1"/>
  <c r="T20" i="21"/>
  <c r="T22" i="21" s="1"/>
  <c r="T20" i="20"/>
  <c r="T22" i="20" s="1"/>
  <c r="T20" i="19"/>
  <c r="T22" i="19" s="1"/>
  <c r="D20" i="21"/>
  <c r="D22" i="21" s="1"/>
  <c r="D20" i="20"/>
  <c r="D22" i="20" s="1"/>
  <c r="D20" i="19"/>
  <c r="R20" i="20"/>
  <c r="R22" i="20" s="1"/>
  <c r="R20" i="21"/>
  <c r="R22" i="21" s="1"/>
  <c r="R20" i="19"/>
  <c r="R22" i="19" s="1"/>
  <c r="Q20" i="20"/>
  <c r="Q22" i="20" s="1"/>
  <c r="Q20" i="21"/>
  <c r="Q22" i="21" s="1"/>
  <c r="Q20" i="19"/>
  <c r="Q22" i="19" s="1"/>
  <c r="O20" i="20"/>
  <c r="O22" i="20" s="1"/>
  <c r="O20" i="21"/>
  <c r="O22" i="21" s="1"/>
  <c r="O20" i="19"/>
  <c r="O22" i="19" s="1"/>
  <c r="P20" i="21"/>
  <c r="P22" i="21" s="1"/>
  <c r="P20" i="20"/>
  <c r="P22" i="20" s="1"/>
  <c r="P20" i="19"/>
  <c r="P22" i="19" s="1"/>
  <c r="U20" i="20"/>
  <c r="U22" i="20" s="1"/>
  <c r="U20" i="21"/>
  <c r="U22" i="21" s="1"/>
  <c r="U20" i="19"/>
  <c r="U22" i="19" s="1"/>
  <c r="M20" i="20"/>
  <c r="M22" i="20" s="1"/>
  <c r="M20" i="19"/>
  <c r="M22" i="19" s="1"/>
  <c r="M20" i="21"/>
  <c r="M22" i="21" s="1"/>
  <c r="X66" i="21"/>
  <c r="P1" i="21" s="1"/>
  <c r="W66" i="21"/>
  <c r="B59" i="20"/>
  <c r="D53" i="20"/>
  <c r="C100" i="20"/>
  <c r="X7" i="20"/>
  <c r="W7" i="20"/>
  <c r="K14" i="19"/>
  <c r="K16" i="19" s="1"/>
  <c r="K12" i="19"/>
  <c r="K18" i="19" s="1"/>
  <c r="L42" i="21"/>
  <c r="L44" i="21" s="1"/>
  <c r="L49" i="21"/>
  <c r="L40" i="21"/>
  <c r="O14" i="21"/>
  <c r="O16" i="21" s="1"/>
  <c r="O12" i="21"/>
  <c r="O18" i="21" s="1"/>
  <c r="R42" i="19"/>
  <c r="R44" i="19" s="1"/>
  <c r="R49" i="19"/>
  <c r="R40" i="19"/>
  <c r="I49" i="21"/>
  <c r="I42" i="21"/>
  <c r="I44" i="21" s="1"/>
  <c r="I40" i="21"/>
  <c r="W38" i="20"/>
  <c r="X38" i="20"/>
  <c r="B40" i="20"/>
  <c r="B42" i="20"/>
  <c r="B49" i="20"/>
  <c r="N49" i="19"/>
  <c r="N42" i="19"/>
  <c r="N44" i="19" s="1"/>
  <c r="N40" i="19"/>
  <c r="T14" i="19"/>
  <c r="T16" i="19" s="1"/>
  <c r="T12" i="19"/>
  <c r="T18" i="19" s="1"/>
  <c r="W66" i="20"/>
  <c r="X66" i="20"/>
  <c r="P1" i="20" s="1"/>
  <c r="C100" i="19"/>
  <c r="D53" i="19"/>
  <c r="C59" i="19" s="1"/>
  <c r="W15" i="20"/>
  <c r="X15" i="20"/>
  <c r="C14" i="19"/>
  <c r="C16" i="19" s="1"/>
  <c r="C12" i="19"/>
  <c r="C18" i="19" s="1"/>
  <c r="D49" i="21"/>
  <c r="D40" i="21"/>
  <c r="D42" i="21"/>
  <c r="D44" i="21" s="1"/>
  <c r="R14" i="20"/>
  <c r="R16" i="20" s="1"/>
  <c r="R12" i="20"/>
  <c r="R18" i="20" s="1"/>
  <c r="J49" i="19"/>
  <c r="J42" i="19"/>
  <c r="J44" i="19" s="1"/>
  <c r="J40" i="19"/>
  <c r="B14" i="21"/>
  <c r="X10" i="21"/>
  <c r="W10" i="21"/>
  <c r="B12" i="21"/>
  <c r="P49" i="20"/>
  <c r="P42" i="20"/>
  <c r="P44" i="20" s="1"/>
  <c r="P40" i="20"/>
  <c r="F40" i="19"/>
  <c r="F42" i="19"/>
  <c r="F44" i="19" s="1"/>
  <c r="F49" i="19"/>
  <c r="L14" i="21"/>
  <c r="L16" i="21" s="1"/>
  <c r="L12" i="21"/>
  <c r="L18" i="21" s="1"/>
  <c r="E14" i="19"/>
  <c r="E16" i="19" s="1"/>
  <c r="E12" i="19"/>
  <c r="E18" i="19" s="1"/>
  <c r="Q49" i="21"/>
  <c r="Q42" i="21"/>
  <c r="Q44" i="21" s="1"/>
  <c r="Q40" i="21"/>
  <c r="O49" i="20"/>
  <c r="O42" i="20"/>
  <c r="O44" i="20" s="1"/>
  <c r="O40" i="20"/>
  <c r="W35" i="20"/>
  <c r="B107" i="20"/>
  <c r="X35" i="20"/>
  <c r="B107" i="21"/>
  <c r="W35" i="21"/>
  <c r="X35" i="21"/>
  <c r="U42" i="20"/>
  <c r="U44" i="20" s="1"/>
  <c r="U49" i="20"/>
  <c r="U40" i="20"/>
  <c r="J14" i="19"/>
  <c r="J16" i="19" s="1"/>
  <c r="J12" i="19"/>
  <c r="J18" i="19" s="1"/>
  <c r="C49" i="21"/>
  <c r="C42" i="21"/>
  <c r="C44" i="21" s="1"/>
  <c r="C40" i="21"/>
  <c r="Q14" i="20"/>
  <c r="Q16" i="20" s="1"/>
  <c r="Q12" i="20"/>
  <c r="Q18" i="20" s="1"/>
  <c r="H40" i="19"/>
  <c r="H49" i="19"/>
  <c r="H42" i="19"/>
  <c r="H44" i="19" s="1"/>
  <c r="N14" i="21"/>
  <c r="N16" i="21" s="1"/>
  <c r="N12" i="21"/>
  <c r="N18" i="21" s="1"/>
  <c r="U14" i="20"/>
  <c r="U16" i="20" s="1"/>
  <c r="U12" i="20"/>
  <c r="U18" i="20" s="1"/>
  <c r="I14" i="21"/>
  <c r="I16" i="21" s="1"/>
  <c r="I12" i="21"/>
  <c r="I18" i="21" s="1"/>
  <c r="F14" i="20"/>
  <c r="F16" i="20" s="1"/>
  <c r="F12" i="20"/>
  <c r="F18" i="20" s="1"/>
  <c r="D76" i="19"/>
  <c r="M42" i="21"/>
  <c r="M44" i="21" s="1"/>
  <c r="M49" i="21"/>
  <c r="M40" i="21"/>
  <c r="T42" i="20"/>
  <c r="T44" i="20" s="1"/>
  <c r="T49" i="20"/>
  <c r="T40" i="20"/>
  <c r="V42" i="19"/>
  <c r="V44" i="19" s="1"/>
  <c r="V49" i="19"/>
  <c r="V40" i="19"/>
  <c r="V46" i="19" s="1"/>
  <c r="S66" i="13"/>
  <c r="W21" i="19"/>
  <c r="W7" i="21"/>
  <c r="B20" i="20"/>
  <c r="B20" i="21"/>
  <c r="B20" i="19"/>
  <c r="V20" i="20"/>
  <c r="V22" i="20" s="1"/>
  <c r="V20" i="21"/>
  <c r="V22" i="21" s="1"/>
  <c r="V20" i="19"/>
  <c r="V22" i="19" s="1"/>
  <c r="S20" i="20"/>
  <c r="S22" i="20" s="1"/>
  <c r="S20" i="21"/>
  <c r="S22" i="21" s="1"/>
  <c r="S20" i="19"/>
  <c r="K20" i="20"/>
  <c r="K22" i="20" s="1"/>
  <c r="K20" i="21"/>
  <c r="K22" i="21" s="1"/>
  <c r="K20" i="19"/>
  <c r="K22" i="19" s="1"/>
  <c r="I20" i="20"/>
  <c r="I22" i="20" s="1"/>
  <c r="I20" i="19"/>
  <c r="I22" i="19" s="1"/>
  <c r="I20" i="21"/>
  <c r="I22" i="21" s="1"/>
  <c r="B76" i="20"/>
  <c r="B81" i="20" s="1"/>
  <c r="E49" i="20"/>
  <c r="E42" i="20"/>
  <c r="E44" i="20" s="1"/>
  <c r="E40" i="20"/>
  <c r="L42" i="19"/>
  <c r="L44" i="19" s="1"/>
  <c r="L49" i="19"/>
  <c r="L40" i="19"/>
  <c r="O14" i="20"/>
  <c r="O16" i="20" s="1"/>
  <c r="O12" i="20"/>
  <c r="O18" i="20" s="1"/>
  <c r="S49" i="20"/>
  <c r="S40" i="20"/>
  <c r="S42" i="20"/>
  <c r="S44" i="20" s="1"/>
  <c r="I42" i="19"/>
  <c r="I44" i="19" s="1"/>
  <c r="I49" i="19"/>
  <c r="I40" i="19"/>
  <c r="W38" i="21"/>
  <c r="X38" i="21"/>
  <c r="B42" i="21"/>
  <c r="B40" i="21"/>
  <c r="B49" i="21"/>
  <c r="G42" i="20"/>
  <c r="G44" i="20" s="1"/>
  <c r="G40" i="20"/>
  <c r="G49" i="20"/>
  <c r="T14" i="21"/>
  <c r="T16" i="21" s="1"/>
  <c r="T17" i="21" s="1"/>
  <c r="T12" i="21"/>
  <c r="T18" i="21" s="1"/>
  <c r="B107" i="19"/>
  <c r="W35" i="19"/>
  <c r="X35" i="19"/>
  <c r="D42" i="19"/>
  <c r="D44" i="19" s="1"/>
  <c r="D49" i="19"/>
  <c r="D40" i="19"/>
  <c r="R14" i="21"/>
  <c r="R16" i="21" s="1"/>
  <c r="R12" i="21"/>
  <c r="R18" i="21" s="1"/>
  <c r="K49" i="20"/>
  <c r="K42" i="20"/>
  <c r="K44" i="20" s="1"/>
  <c r="K40" i="20"/>
  <c r="B14" i="19"/>
  <c r="B12" i="19"/>
  <c r="W10" i="19"/>
  <c r="X10" i="19"/>
  <c r="P49" i="21"/>
  <c r="P42" i="21"/>
  <c r="P44" i="21" s="1"/>
  <c r="P40" i="21"/>
  <c r="V14" i="20"/>
  <c r="V16" i="20" s="1"/>
  <c r="V12" i="20"/>
  <c r="V18" i="20" s="1"/>
  <c r="L14" i="19"/>
  <c r="L16" i="19" s="1"/>
  <c r="L12" i="19"/>
  <c r="L18" i="19" s="1"/>
  <c r="S14" i="21"/>
  <c r="S16" i="21" s="1"/>
  <c r="S12" i="21"/>
  <c r="S18" i="21" s="1"/>
  <c r="Q49" i="19"/>
  <c r="Q42" i="19"/>
  <c r="Q44" i="19" s="1"/>
  <c r="Q40" i="19"/>
  <c r="O42" i="21"/>
  <c r="O44" i="21" s="1"/>
  <c r="O49" i="21"/>
  <c r="O40" i="21"/>
  <c r="M14" i="20"/>
  <c r="M16" i="20" s="1"/>
  <c r="M12" i="20"/>
  <c r="M18" i="20" s="1"/>
  <c r="D53" i="21"/>
  <c r="C100" i="21"/>
  <c r="S26" i="19"/>
  <c r="T26" i="19" s="1"/>
  <c r="U26" i="19" s="1"/>
  <c r="V26" i="19" s="1"/>
  <c r="W15" i="21"/>
  <c r="X15" i="21"/>
  <c r="U42" i="21"/>
  <c r="U44" i="21" s="1"/>
  <c r="U49" i="21"/>
  <c r="U40" i="21"/>
  <c r="G14" i="21"/>
  <c r="G16" i="21" s="1"/>
  <c r="G12" i="21"/>
  <c r="G18" i="21" s="1"/>
  <c r="C42" i="19"/>
  <c r="C44" i="19" s="1"/>
  <c r="C40" i="19"/>
  <c r="C49" i="19"/>
  <c r="Q14" i="21"/>
  <c r="Q16" i="21" s="1"/>
  <c r="Q12" i="21"/>
  <c r="Q18" i="21" s="1"/>
  <c r="P14" i="20"/>
  <c r="P16" i="20" s="1"/>
  <c r="P12" i="20"/>
  <c r="P18" i="20" s="1"/>
  <c r="N14" i="19"/>
  <c r="N16" i="19" s="1"/>
  <c r="N12" i="19"/>
  <c r="N18" i="19" s="1"/>
  <c r="U14" i="21"/>
  <c r="U16" i="21" s="1"/>
  <c r="U12" i="21"/>
  <c r="U18" i="21" s="1"/>
  <c r="D14" i="20"/>
  <c r="D16" i="20" s="1"/>
  <c r="D12" i="20"/>
  <c r="D18" i="20" s="1"/>
  <c r="I14" i="19"/>
  <c r="I16" i="19" s="1"/>
  <c r="I12" i="19"/>
  <c r="I18" i="19" s="1"/>
  <c r="F14" i="21"/>
  <c r="F16" i="21" s="1"/>
  <c r="F12" i="21"/>
  <c r="F18" i="21" s="1"/>
  <c r="M49" i="19"/>
  <c r="M42" i="19"/>
  <c r="M44" i="19" s="1"/>
  <c r="M40" i="19"/>
  <c r="T49" i="21"/>
  <c r="T42" i="21"/>
  <c r="T44" i="21" s="1"/>
  <c r="T40" i="21"/>
  <c r="H14" i="20"/>
  <c r="H16" i="20" s="1"/>
  <c r="H12" i="20"/>
  <c r="H18" i="20" s="1"/>
  <c r="C81" i="19"/>
  <c r="B86" i="19" s="1"/>
  <c r="W21" i="20"/>
  <c r="D69" i="20"/>
  <c r="D69" i="21"/>
  <c r="D69" i="19"/>
  <c r="E20" i="20"/>
  <c r="E22" i="20" s="1"/>
  <c r="E20" i="21"/>
  <c r="E22" i="21" s="1"/>
  <c r="E20" i="19"/>
  <c r="E22" i="19" s="1"/>
  <c r="F20" i="20"/>
  <c r="F22" i="20" s="1"/>
  <c r="F20" i="21"/>
  <c r="F22" i="21" s="1"/>
  <c r="F20" i="19"/>
  <c r="F22" i="19" s="1"/>
  <c r="J20" i="20"/>
  <c r="J22" i="20" s="1"/>
  <c r="J20" i="21"/>
  <c r="J22" i="21" s="1"/>
  <c r="J20" i="19"/>
  <c r="J22" i="19" s="1"/>
  <c r="C20" i="20"/>
  <c r="C22" i="20" s="1"/>
  <c r="C20" i="21"/>
  <c r="C20" i="19"/>
  <c r="C22" i="19" s="1"/>
  <c r="G20" i="20"/>
  <c r="G22" i="20" s="1"/>
  <c r="G20" i="21"/>
  <c r="G22" i="21" s="1"/>
  <c r="G20" i="19"/>
  <c r="G22" i="19" s="1"/>
  <c r="H20" i="21"/>
  <c r="H22" i="21" s="1"/>
  <c r="H20" i="20"/>
  <c r="H22" i="20" s="1"/>
  <c r="H20" i="19"/>
  <c r="H22" i="19" s="1"/>
  <c r="J71" i="20"/>
  <c r="J71" i="21"/>
  <c r="J71" i="19"/>
  <c r="B101" i="19"/>
  <c r="C24" i="19"/>
  <c r="D76" i="20"/>
  <c r="E42" i="21"/>
  <c r="E44" i="21" s="1"/>
  <c r="E49" i="21"/>
  <c r="E40" i="21"/>
  <c r="K14" i="21"/>
  <c r="K16" i="21" s="1"/>
  <c r="K12" i="21"/>
  <c r="K18" i="21" s="1"/>
  <c r="O14" i="19"/>
  <c r="O16" i="19" s="1"/>
  <c r="O12" i="19"/>
  <c r="O18" i="19" s="1"/>
  <c r="S49" i="21"/>
  <c r="S42" i="21"/>
  <c r="S44" i="21" s="1"/>
  <c r="S40" i="21"/>
  <c r="R42" i="20"/>
  <c r="R44" i="20" s="1"/>
  <c r="R49" i="20"/>
  <c r="R40" i="20"/>
  <c r="W38" i="19"/>
  <c r="B40" i="19"/>
  <c r="B42" i="19"/>
  <c r="B49" i="19"/>
  <c r="X38" i="19"/>
  <c r="G42" i="21"/>
  <c r="G44" i="21" s="1"/>
  <c r="G49" i="21"/>
  <c r="G40" i="21"/>
  <c r="N49" i="20"/>
  <c r="N40" i="20"/>
  <c r="N42" i="20"/>
  <c r="N44" i="20" s="1"/>
  <c r="B76" i="21"/>
  <c r="B81" i="21" s="1"/>
  <c r="X64" i="21"/>
  <c r="N1" i="21" s="1"/>
  <c r="D76" i="21"/>
  <c r="C24" i="20"/>
  <c r="B101" i="20"/>
  <c r="C14" i="21"/>
  <c r="C16" i="21" s="1"/>
  <c r="C12" i="21"/>
  <c r="C18" i="21" s="1"/>
  <c r="R14" i="19"/>
  <c r="R16" i="19" s="1"/>
  <c r="R12" i="19"/>
  <c r="R18" i="19" s="1"/>
  <c r="K42" i="21"/>
  <c r="K44" i="21" s="1"/>
  <c r="K49" i="21"/>
  <c r="K40" i="21"/>
  <c r="J40" i="20"/>
  <c r="J49" i="20"/>
  <c r="J42" i="20"/>
  <c r="J44" i="20" s="1"/>
  <c r="P42" i="19"/>
  <c r="P44" i="19" s="1"/>
  <c r="P49" i="19"/>
  <c r="P40" i="19"/>
  <c r="V14" i="21"/>
  <c r="V16" i="21" s="1"/>
  <c r="V12" i="21"/>
  <c r="V18" i="21" s="1"/>
  <c r="F42" i="20"/>
  <c r="F44" i="20" s="1"/>
  <c r="F40" i="20"/>
  <c r="F49" i="20"/>
  <c r="S14" i="20"/>
  <c r="S16" i="20" s="1"/>
  <c r="S12" i="20"/>
  <c r="S18" i="20" s="1"/>
  <c r="E14" i="20"/>
  <c r="E16" i="20" s="1"/>
  <c r="E12" i="20"/>
  <c r="E18" i="20" s="1"/>
  <c r="O42" i="19"/>
  <c r="O44" i="19" s="1"/>
  <c r="O49" i="19"/>
  <c r="O40" i="19"/>
  <c r="M14" i="21"/>
  <c r="M16" i="21" s="1"/>
  <c r="M12" i="21"/>
  <c r="M18" i="21" s="1"/>
  <c r="W66" i="19"/>
  <c r="X66" i="19"/>
  <c r="P1" i="19" s="1"/>
  <c r="U49" i="19"/>
  <c r="U42" i="19"/>
  <c r="U44" i="19" s="1"/>
  <c r="U40" i="19"/>
  <c r="G14" i="20"/>
  <c r="G16" i="20" s="1"/>
  <c r="G12" i="20"/>
  <c r="G18" i="20" s="1"/>
  <c r="J14" i="20"/>
  <c r="J16" i="20" s="1"/>
  <c r="J12" i="20"/>
  <c r="J18" i="20" s="1"/>
  <c r="Q14" i="19"/>
  <c r="Q16" i="19" s="1"/>
  <c r="Q12" i="19"/>
  <c r="Q18" i="19" s="1"/>
  <c r="P14" i="21"/>
  <c r="P16" i="21" s="1"/>
  <c r="P12" i="21"/>
  <c r="P18" i="21" s="1"/>
  <c r="H49" i="20"/>
  <c r="H40" i="20"/>
  <c r="H42" i="20"/>
  <c r="H44" i="20" s="1"/>
  <c r="U14" i="19"/>
  <c r="U16" i="19" s="1"/>
  <c r="U12" i="19"/>
  <c r="U18" i="19" s="1"/>
  <c r="D14" i="19"/>
  <c r="D16" i="19" s="1"/>
  <c r="D12" i="19"/>
  <c r="D18" i="19" s="1"/>
  <c r="F14" i="19"/>
  <c r="F16" i="19" s="1"/>
  <c r="F12" i="19"/>
  <c r="F18" i="19" s="1"/>
  <c r="C24" i="21"/>
  <c r="B101" i="21"/>
  <c r="T42" i="19"/>
  <c r="T44" i="19" s="1"/>
  <c r="T49" i="19"/>
  <c r="T40" i="19"/>
  <c r="H14" i="19"/>
  <c r="H16" i="19" s="1"/>
  <c r="H12" i="19"/>
  <c r="H18" i="19" s="1"/>
  <c r="V42" i="20"/>
  <c r="V44" i="20" s="1"/>
  <c r="V49" i="20"/>
  <c r="V40" i="20"/>
  <c r="V46" i="20" s="1"/>
  <c r="S22" i="19"/>
  <c r="X64" i="19"/>
  <c r="N1" i="19" s="1"/>
  <c r="J74" i="20"/>
  <c r="K2" i="20"/>
  <c r="F83" i="20"/>
  <c r="D88" i="20"/>
  <c r="I78" i="20"/>
  <c r="I76" i="20"/>
  <c r="H55" i="20"/>
  <c r="G61" i="20" s="1"/>
  <c r="I55" i="21"/>
  <c r="H61" i="21" s="1"/>
  <c r="J78" i="21"/>
  <c r="J76" i="21"/>
  <c r="K74" i="21"/>
  <c r="L2" i="21"/>
  <c r="G61" i="21"/>
  <c r="H55" i="19"/>
  <c r="G61" i="19" s="1"/>
  <c r="I78" i="19"/>
  <c r="I76" i="19"/>
  <c r="F61" i="19"/>
  <c r="J74" i="19"/>
  <c r="K2" i="19"/>
  <c r="L20" i="18"/>
  <c r="L22" i="18" s="1"/>
  <c r="L20" i="17"/>
  <c r="L22" i="17" s="1"/>
  <c r="T20" i="18"/>
  <c r="T22" i="18" s="1"/>
  <c r="T20" i="17"/>
  <c r="T22" i="17" s="1"/>
  <c r="D20" i="18"/>
  <c r="D22" i="18" s="1"/>
  <c r="D20" i="17"/>
  <c r="D22" i="17" s="1"/>
  <c r="R20" i="17"/>
  <c r="R22" i="17" s="1"/>
  <c r="R20" i="18"/>
  <c r="R22" i="18" s="1"/>
  <c r="Q20" i="17"/>
  <c r="Q22" i="17" s="1"/>
  <c r="Q20" i="18"/>
  <c r="Q22" i="18" s="1"/>
  <c r="O20" i="18"/>
  <c r="O22" i="18" s="1"/>
  <c r="O20" i="17"/>
  <c r="O22" i="17" s="1"/>
  <c r="P20" i="18"/>
  <c r="P22" i="18" s="1"/>
  <c r="P20" i="17"/>
  <c r="P22" i="17" s="1"/>
  <c r="U20" i="18"/>
  <c r="U22" i="18" s="1"/>
  <c r="U20" i="17"/>
  <c r="U22" i="17" s="1"/>
  <c r="M20" i="17"/>
  <c r="M22" i="17" s="1"/>
  <c r="M20" i="18"/>
  <c r="M22" i="18" s="1"/>
  <c r="D53" i="17"/>
  <c r="C59" i="17" s="1"/>
  <c r="C100" i="17"/>
  <c r="C14" i="17"/>
  <c r="C16" i="17" s="1"/>
  <c r="C12" i="17"/>
  <c r="C18" i="17" s="1"/>
  <c r="K42" i="17"/>
  <c r="K44" i="17" s="1"/>
  <c r="K49" i="17"/>
  <c r="K40" i="17"/>
  <c r="J49" i="17"/>
  <c r="J42" i="17"/>
  <c r="J44" i="17" s="1"/>
  <c r="J40" i="17"/>
  <c r="P42" i="17"/>
  <c r="P44" i="17" s="1"/>
  <c r="P49" i="17"/>
  <c r="P40" i="17"/>
  <c r="L14" i="17"/>
  <c r="L16" i="17" s="1"/>
  <c r="L12" i="17"/>
  <c r="L18" i="17" s="1"/>
  <c r="C24" i="18"/>
  <c r="B101" i="18"/>
  <c r="U42" i="18"/>
  <c r="U44" i="18" s="1"/>
  <c r="U49" i="18"/>
  <c r="U40" i="18"/>
  <c r="J14" i="18"/>
  <c r="J16" i="18" s="1"/>
  <c r="J12" i="18"/>
  <c r="J18" i="18" s="1"/>
  <c r="Q14" i="18"/>
  <c r="Q16" i="18" s="1"/>
  <c r="Q12" i="18"/>
  <c r="Q18" i="18" s="1"/>
  <c r="H42" i="17"/>
  <c r="H44" i="17" s="1"/>
  <c r="H40" i="17"/>
  <c r="H49" i="17"/>
  <c r="N14" i="18"/>
  <c r="N16" i="18" s="1"/>
  <c r="N12" i="18"/>
  <c r="N18" i="18" s="1"/>
  <c r="D14" i="18"/>
  <c r="D16" i="18" s="1"/>
  <c r="D12" i="18"/>
  <c r="D18" i="18" s="1"/>
  <c r="C81" i="17"/>
  <c r="S14" i="17"/>
  <c r="S16" i="17" s="1"/>
  <c r="S12" i="17"/>
  <c r="S18" i="17" s="1"/>
  <c r="I14" i="17"/>
  <c r="I16" i="17" s="1"/>
  <c r="I12" i="17"/>
  <c r="I18" i="17" s="1"/>
  <c r="Q49" i="17"/>
  <c r="Q42" i="17"/>
  <c r="Q44" i="17" s="1"/>
  <c r="Q40" i="17"/>
  <c r="O42" i="18"/>
  <c r="O44" i="18" s="1"/>
  <c r="O49" i="18"/>
  <c r="O40" i="18"/>
  <c r="V49" i="18"/>
  <c r="V42" i="18"/>
  <c r="V44" i="18" s="1"/>
  <c r="V40" i="18"/>
  <c r="V46" i="18" s="1"/>
  <c r="K14" i="17"/>
  <c r="K16" i="17" s="1"/>
  <c r="K12" i="17"/>
  <c r="K18" i="17" s="1"/>
  <c r="S42" i="17"/>
  <c r="S44" i="17" s="1"/>
  <c r="S49" i="17"/>
  <c r="S40" i="17"/>
  <c r="R42" i="17"/>
  <c r="R44" i="17" s="1"/>
  <c r="R49" i="17"/>
  <c r="R40" i="17"/>
  <c r="G42" i="17"/>
  <c r="G44" i="17" s="1"/>
  <c r="G40" i="17"/>
  <c r="G49" i="17"/>
  <c r="N42" i="17"/>
  <c r="N44" i="17" s="1"/>
  <c r="N49" i="17"/>
  <c r="N40" i="17"/>
  <c r="I76" i="13"/>
  <c r="W21" i="17"/>
  <c r="X21" i="18"/>
  <c r="B20" i="17"/>
  <c r="B20" i="18"/>
  <c r="V20" i="17"/>
  <c r="V22" i="17" s="1"/>
  <c r="V20" i="18"/>
  <c r="V22" i="18" s="1"/>
  <c r="S20" i="18"/>
  <c r="S22" i="18" s="1"/>
  <c r="S20" i="17"/>
  <c r="S22" i="17" s="1"/>
  <c r="K20" i="18"/>
  <c r="K22" i="18" s="1"/>
  <c r="K20" i="17"/>
  <c r="K22" i="17" s="1"/>
  <c r="I20" i="17"/>
  <c r="I22" i="17" s="1"/>
  <c r="I20" i="18"/>
  <c r="I22" i="18" s="1"/>
  <c r="B76" i="18"/>
  <c r="B81" i="18" s="1"/>
  <c r="X7" i="18"/>
  <c r="W7" i="18"/>
  <c r="D42" i="17"/>
  <c r="D44" i="17" s="1"/>
  <c r="D40" i="17"/>
  <c r="D49" i="17"/>
  <c r="K49" i="18"/>
  <c r="K42" i="18"/>
  <c r="K44" i="18" s="1"/>
  <c r="K40" i="18"/>
  <c r="J42" i="18"/>
  <c r="J44" i="18" s="1"/>
  <c r="J40" i="18"/>
  <c r="J49" i="18"/>
  <c r="P49" i="18"/>
  <c r="P42" i="18"/>
  <c r="P44" i="18" s="1"/>
  <c r="P40" i="18"/>
  <c r="V14" i="18"/>
  <c r="V16" i="18" s="1"/>
  <c r="V12" i="18"/>
  <c r="V18" i="18" s="1"/>
  <c r="L14" i="18"/>
  <c r="L16" i="18" s="1"/>
  <c r="L12" i="18"/>
  <c r="L18" i="18" s="1"/>
  <c r="W15" i="17"/>
  <c r="X15" i="17"/>
  <c r="J14" i="17"/>
  <c r="J16" i="17" s="1"/>
  <c r="J12" i="17"/>
  <c r="J18" i="17" s="1"/>
  <c r="P14" i="17"/>
  <c r="P16" i="17" s="1"/>
  <c r="P12" i="17"/>
  <c r="P18" i="17" s="1"/>
  <c r="N14" i="17"/>
  <c r="N16" i="17" s="1"/>
  <c r="N12" i="17"/>
  <c r="N18" i="17" s="1"/>
  <c r="D14" i="17"/>
  <c r="D16" i="17" s="1"/>
  <c r="D12" i="17"/>
  <c r="D18" i="17" s="1"/>
  <c r="M49" i="18"/>
  <c r="M42" i="18"/>
  <c r="M44" i="18" s="1"/>
  <c r="M40" i="18"/>
  <c r="T49" i="17"/>
  <c r="T42" i="17"/>
  <c r="T44" i="17" s="1"/>
  <c r="T40" i="17"/>
  <c r="I14" i="18"/>
  <c r="I16" i="18" s="1"/>
  <c r="I12" i="18"/>
  <c r="I18" i="18" s="1"/>
  <c r="F14" i="18"/>
  <c r="F16" i="18" s="1"/>
  <c r="F12" i="18"/>
  <c r="F18" i="18" s="1"/>
  <c r="M14" i="17"/>
  <c r="M16" i="17" s="1"/>
  <c r="M12" i="17"/>
  <c r="M18" i="17" s="1"/>
  <c r="E42" i="18"/>
  <c r="E44" i="18" s="1"/>
  <c r="E49" i="18"/>
  <c r="E40" i="18"/>
  <c r="L42" i="17"/>
  <c r="L44" i="17" s="1"/>
  <c r="L49" i="17"/>
  <c r="L40" i="17"/>
  <c r="S49" i="18"/>
  <c r="S42" i="18"/>
  <c r="S44" i="18" s="1"/>
  <c r="S40" i="18"/>
  <c r="R42" i="18"/>
  <c r="R44" i="18" s="1"/>
  <c r="R49" i="18"/>
  <c r="R40" i="18"/>
  <c r="I42" i="18"/>
  <c r="I44" i="18" s="1"/>
  <c r="I40" i="18"/>
  <c r="I49" i="18"/>
  <c r="G40" i="18"/>
  <c r="G42" i="18"/>
  <c r="G44" i="18" s="1"/>
  <c r="G49" i="18"/>
  <c r="N49" i="18"/>
  <c r="N42" i="18"/>
  <c r="N44" i="18" s="1"/>
  <c r="N40" i="18"/>
  <c r="B59" i="17"/>
  <c r="X21" i="17"/>
  <c r="W21" i="18"/>
  <c r="S69" i="18"/>
  <c r="S69" i="17"/>
  <c r="E20" i="18"/>
  <c r="E22" i="18" s="1"/>
  <c r="E20" i="17"/>
  <c r="E22" i="17" s="1"/>
  <c r="F20" i="17"/>
  <c r="F22" i="17" s="1"/>
  <c r="F20" i="18"/>
  <c r="F22" i="18" s="1"/>
  <c r="J20" i="17"/>
  <c r="J22" i="17" s="1"/>
  <c r="J20" i="18"/>
  <c r="J22" i="18" s="1"/>
  <c r="C20" i="18"/>
  <c r="C22" i="18" s="1"/>
  <c r="C20" i="17"/>
  <c r="G20" i="18"/>
  <c r="G22" i="18" s="1"/>
  <c r="G20" i="17"/>
  <c r="G22" i="17" s="1"/>
  <c r="H20" i="18"/>
  <c r="H22" i="18" s="1"/>
  <c r="H20" i="17"/>
  <c r="H22" i="17" s="1"/>
  <c r="J71" i="18"/>
  <c r="J71" i="17"/>
  <c r="B101" i="17"/>
  <c r="C24" i="17"/>
  <c r="D42" i="18"/>
  <c r="D44" i="18" s="1"/>
  <c r="D40" i="18"/>
  <c r="D49" i="18"/>
  <c r="R14" i="18"/>
  <c r="R16" i="18" s="1"/>
  <c r="R12" i="18"/>
  <c r="R18" i="18" s="1"/>
  <c r="W10" i="18"/>
  <c r="B14" i="18"/>
  <c r="B12" i="18"/>
  <c r="X10" i="18"/>
  <c r="V14" i="17"/>
  <c r="V16" i="17" s="1"/>
  <c r="V12" i="17"/>
  <c r="V18" i="17" s="1"/>
  <c r="F49" i="17"/>
  <c r="F40" i="17"/>
  <c r="F42" i="17"/>
  <c r="F44" i="17" s="1"/>
  <c r="U49" i="17"/>
  <c r="U42" i="17"/>
  <c r="U44" i="17" s="1"/>
  <c r="U40" i="17"/>
  <c r="G14" i="18"/>
  <c r="G16" i="18" s="1"/>
  <c r="G12" i="18"/>
  <c r="G18" i="18" s="1"/>
  <c r="C49" i="17"/>
  <c r="C40" i="17"/>
  <c r="C42" i="17"/>
  <c r="C44" i="17" s="1"/>
  <c r="P14" i="18"/>
  <c r="P16" i="18" s="1"/>
  <c r="P12" i="18"/>
  <c r="P18" i="18" s="1"/>
  <c r="H42" i="18"/>
  <c r="H44" i="18" s="1"/>
  <c r="H40" i="18"/>
  <c r="H49" i="18"/>
  <c r="U14" i="17"/>
  <c r="U16" i="17" s="1"/>
  <c r="U12" i="17"/>
  <c r="U18" i="17" s="1"/>
  <c r="W15" i="18"/>
  <c r="X15" i="18"/>
  <c r="M49" i="17"/>
  <c r="M42" i="17"/>
  <c r="M44" i="17" s="1"/>
  <c r="M40" i="17"/>
  <c r="T42" i="18"/>
  <c r="T44" i="18" s="1"/>
  <c r="T49" i="18"/>
  <c r="T40" i="18"/>
  <c r="E14" i="17"/>
  <c r="E16" i="17" s="1"/>
  <c r="E12" i="17"/>
  <c r="E18" i="17" s="1"/>
  <c r="H14" i="17"/>
  <c r="H16" i="17" s="1"/>
  <c r="H12" i="17"/>
  <c r="H18" i="17" s="1"/>
  <c r="F14" i="17"/>
  <c r="F16" i="17" s="1"/>
  <c r="F12" i="17"/>
  <c r="F18" i="17" s="1"/>
  <c r="M14" i="18"/>
  <c r="M16" i="18" s="1"/>
  <c r="M12" i="18"/>
  <c r="M18" i="18" s="1"/>
  <c r="X107" i="18"/>
  <c r="B109" i="18"/>
  <c r="B107" i="17"/>
  <c r="X35" i="17"/>
  <c r="W35" i="17"/>
  <c r="D76" i="18"/>
  <c r="E40" i="17"/>
  <c r="E49" i="17"/>
  <c r="E42" i="17"/>
  <c r="E44" i="17" s="1"/>
  <c r="L42" i="18"/>
  <c r="L44" i="18" s="1"/>
  <c r="L49" i="18"/>
  <c r="L40" i="18"/>
  <c r="O14" i="18"/>
  <c r="O16" i="18" s="1"/>
  <c r="O12" i="18"/>
  <c r="O18" i="18" s="1"/>
  <c r="W38" i="17"/>
  <c r="B42" i="17"/>
  <c r="B40" i="17"/>
  <c r="X38" i="17"/>
  <c r="B49" i="17"/>
  <c r="T14" i="18"/>
  <c r="T16" i="18" s="1"/>
  <c r="T12" i="18"/>
  <c r="T18" i="18" s="1"/>
  <c r="W49" i="12"/>
  <c r="S26" i="17"/>
  <c r="T26" i="17" s="1"/>
  <c r="U26" i="17" s="1"/>
  <c r="V26" i="17" s="1"/>
  <c r="S26" i="18"/>
  <c r="T26" i="18" s="1"/>
  <c r="U26" i="18" s="1"/>
  <c r="V26" i="18" s="1"/>
  <c r="D69" i="18"/>
  <c r="D69" i="17"/>
  <c r="S71" i="18"/>
  <c r="S71" i="17"/>
  <c r="V71" i="18"/>
  <c r="V71" i="17"/>
  <c r="N20" i="17"/>
  <c r="N22" i="17" s="1"/>
  <c r="N20" i="18"/>
  <c r="N22" i="18" s="1"/>
  <c r="C14" i="18"/>
  <c r="C16" i="18" s="1"/>
  <c r="C12" i="18"/>
  <c r="C18" i="18" s="1"/>
  <c r="R14" i="17"/>
  <c r="R16" i="17" s="1"/>
  <c r="R12" i="17"/>
  <c r="R18" i="17" s="1"/>
  <c r="X10" i="17"/>
  <c r="B12" i="17"/>
  <c r="W10" i="17"/>
  <c r="B14" i="17"/>
  <c r="F49" i="18"/>
  <c r="F40" i="18"/>
  <c r="F42" i="18"/>
  <c r="F44" i="18" s="1"/>
  <c r="D76" i="17"/>
  <c r="W7" i="17"/>
  <c r="X7" i="17"/>
  <c r="G14" i="17"/>
  <c r="G16" i="17" s="1"/>
  <c r="G12" i="17"/>
  <c r="G18" i="17" s="1"/>
  <c r="C49" i="18"/>
  <c r="C40" i="18"/>
  <c r="C42" i="18"/>
  <c r="C44" i="18" s="1"/>
  <c r="Q14" i="17"/>
  <c r="Q16" i="17" s="1"/>
  <c r="Q12" i="17"/>
  <c r="Q18" i="17" s="1"/>
  <c r="U14" i="18"/>
  <c r="U16" i="18" s="1"/>
  <c r="U12" i="18"/>
  <c r="U18" i="18" s="1"/>
  <c r="W66" i="17"/>
  <c r="X66" i="17"/>
  <c r="C100" i="18"/>
  <c r="D53" i="18"/>
  <c r="C59" i="18" s="1"/>
  <c r="S14" i="18"/>
  <c r="S16" i="18" s="1"/>
  <c r="S12" i="18"/>
  <c r="S18" i="18" s="1"/>
  <c r="E14" i="18"/>
  <c r="E16" i="18" s="1"/>
  <c r="E12" i="18"/>
  <c r="E18" i="18" s="1"/>
  <c r="H14" i="18"/>
  <c r="H16" i="18" s="1"/>
  <c r="H12" i="18"/>
  <c r="H18" i="18" s="1"/>
  <c r="Q49" i="18"/>
  <c r="Q42" i="18"/>
  <c r="Q44" i="18" s="1"/>
  <c r="Q40" i="18"/>
  <c r="O42" i="17"/>
  <c r="O44" i="17" s="1"/>
  <c r="O49" i="17"/>
  <c r="O40" i="17"/>
  <c r="V42" i="17"/>
  <c r="V44" i="17" s="1"/>
  <c r="V49" i="17"/>
  <c r="V40" i="17"/>
  <c r="V46" i="17" s="1"/>
  <c r="X66" i="18"/>
  <c r="P1" i="18" s="1"/>
  <c r="W66" i="18"/>
  <c r="K14" i="18"/>
  <c r="K16" i="18" s="1"/>
  <c r="K12" i="18"/>
  <c r="K18" i="18" s="1"/>
  <c r="O14" i="17"/>
  <c r="O16" i="17" s="1"/>
  <c r="O12" i="17"/>
  <c r="O18" i="17" s="1"/>
  <c r="I42" i="17"/>
  <c r="I44" i="17" s="1"/>
  <c r="I40" i="17"/>
  <c r="I49" i="17"/>
  <c r="B40" i="18"/>
  <c r="B42" i="18"/>
  <c r="B49" i="18"/>
  <c r="X38" i="18"/>
  <c r="W38" i="18"/>
  <c r="T14" i="17"/>
  <c r="T16" i="17" s="1"/>
  <c r="T12" i="17"/>
  <c r="T18" i="17" s="1"/>
  <c r="I78" i="18"/>
  <c r="I76" i="18"/>
  <c r="H55" i="18"/>
  <c r="J74" i="18"/>
  <c r="K2" i="18"/>
  <c r="K74" i="17"/>
  <c r="L2" i="17"/>
  <c r="J78" i="17"/>
  <c r="J76" i="17"/>
  <c r="H55" i="17"/>
  <c r="B110" i="13"/>
  <c r="J14" i="13"/>
  <c r="J16" i="13" s="1"/>
  <c r="J12" i="13"/>
  <c r="J18" i="13" s="1"/>
  <c r="C42" i="13"/>
  <c r="C44" i="13" s="1"/>
  <c r="C40" i="13"/>
  <c r="H42" i="13"/>
  <c r="H44" i="13" s="1"/>
  <c r="H40" i="13"/>
  <c r="N14" i="13"/>
  <c r="N16" i="13" s="1"/>
  <c r="N12" i="13"/>
  <c r="N18" i="13" s="1"/>
  <c r="D14" i="13"/>
  <c r="D16" i="13" s="1"/>
  <c r="D12" i="13"/>
  <c r="D18" i="13" s="1"/>
  <c r="B20" i="13"/>
  <c r="C21" i="5"/>
  <c r="L20" i="13"/>
  <c r="T20" i="13"/>
  <c r="D20" i="13"/>
  <c r="R20" i="13"/>
  <c r="R22" i="13" s="1"/>
  <c r="Q20" i="13"/>
  <c r="Q22" i="13" s="1"/>
  <c r="O20" i="13"/>
  <c r="O22" i="13" s="1"/>
  <c r="P20" i="13"/>
  <c r="U20" i="13"/>
  <c r="U22" i="13" s="1"/>
  <c r="M20" i="13"/>
  <c r="M22" i="13" s="1"/>
  <c r="C100" i="13"/>
  <c r="D53" i="13"/>
  <c r="X10" i="13"/>
  <c r="C12" i="13"/>
  <c r="C18" i="13" s="1"/>
  <c r="C14" i="13"/>
  <c r="C16" i="13" s="1"/>
  <c r="D42" i="13"/>
  <c r="D44" i="13" s="1"/>
  <c r="D40" i="13"/>
  <c r="R14" i="13"/>
  <c r="R16" i="13" s="1"/>
  <c r="R12" i="13"/>
  <c r="R18" i="13" s="1"/>
  <c r="K42" i="13"/>
  <c r="K44" i="13" s="1"/>
  <c r="K40" i="13"/>
  <c r="J40" i="13"/>
  <c r="J42" i="13"/>
  <c r="J44" i="13" s="1"/>
  <c r="B14" i="13"/>
  <c r="B12" i="13"/>
  <c r="W10" i="13"/>
  <c r="P42" i="13"/>
  <c r="P44" i="13" s="1"/>
  <c r="P40" i="13"/>
  <c r="V14" i="13"/>
  <c r="V16" i="13" s="1"/>
  <c r="V12" i="13"/>
  <c r="V18" i="13" s="1"/>
  <c r="F42" i="13"/>
  <c r="F44" i="13" s="1"/>
  <c r="F40" i="13"/>
  <c r="L12" i="13"/>
  <c r="L18" i="13" s="1"/>
  <c r="L14" i="13"/>
  <c r="L16" i="13" s="1"/>
  <c r="J66" i="13"/>
  <c r="W50" i="13"/>
  <c r="X50" i="13"/>
  <c r="J70" i="12"/>
  <c r="J77" i="12" s="1"/>
  <c r="J71" i="13"/>
  <c r="W21" i="13"/>
  <c r="W19" i="13"/>
  <c r="X15" i="13"/>
  <c r="W15" i="13"/>
  <c r="U42" i="13"/>
  <c r="U44" i="13" s="1"/>
  <c r="U40" i="13"/>
  <c r="N42" i="13"/>
  <c r="N44" i="13" s="1"/>
  <c r="N40" i="13"/>
  <c r="L51" i="13"/>
  <c r="V20" i="13"/>
  <c r="V22" i="13" s="1"/>
  <c r="S20" i="13"/>
  <c r="S22" i="13" s="1"/>
  <c r="K20" i="13"/>
  <c r="K22" i="13" s="1"/>
  <c r="I20" i="13"/>
  <c r="I22" i="13" s="1"/>
  <c r="P51" i="13"/>
  <c r="C61" i="13"/>
  <c r="E55" i="13"/>
  <c r="D61" i="13" s="1"/>
  <c r="B88" i="13"/>
  <c r="D83" i="13"/>
  <c r="C88" i="13" s="1"/>
  <c r="E14" i="13"/>
  <c r="E16" i="13" s="1"/>
  <c r="E12" i="13"/>
  <c r="E18" i="13" s="1"/>
  <c r="I14" i="13"/>
  <c r="I16" i="13" s="1"/>
  <c r="I17" i="13" s="1"/>
  <c r="I12" i="13"/>
  <c r="I18" i="13" s="1"/>
  <c r="M14" i="13"/>
  <c r="M16" i="13" s="1"/>
  <c r="M12" i="13"/>
  <c r="M18" i="13" s="1"/>
  <c r="B101" i="13"/>
  <c r="C24" i="13"/>
  <c r="X18" i="12"/>
  <c r="V70" i="12"/>
  <c r="V77" i="12" s="1"/>
  <c r="V71" i="13"/>
  <c r="N20" i="13"/>
  <c r="N22" i="13" s="1"/>
  <c r="T51" i="13"/>
  <c r="G14" i="13"/>
  <c r="G16" i="13" s="1"/>
  <c r="G12" i="13"/>
  <c r="G18" i="13" s="1"/>
  <c r="P14" i="13"/>
  <c r="P16" i="13" s="1"/>
  <c r="P12" i="13"/>
  <c r="P18" i="13" s="1"/>
  <c r="K14" i="13"/>
  <c r="K16" i="13" s="1"/>
  <c r="K12" i="13"/>
  <c r="K18" i="13" s="1"/>
  <c r="O14" i="13"/>
  <c r="O16" i="13" s="1"/>
  <c r="O12" i="13"/>
  <c r="O18" i="13" s="1"/>
  <c r="R42" i="13"/>
  <c r="R44" i="13" s="1"/>
  <c r="R40" i="13"/>
  <c r="W38" i="13"/>
  <c r="B42" i="13"/>
  <c r="X38" i="13"/>
  <c r="B40" i="13"/>
  <c r="S69" i="13"/>
  <c r="S70" i="12"/>
  <c r="S77" i="12" s="1"/>
  <c r="S71" i="13"/>
  <c r="D69" i="13"/>
  <c r="E20" i="13"/>
  <c r="E22" i="13" s="1"/>
  <c r="F20" i="13"/>
  <c r="F22" i="13" s="1"/>
  <c r="J20" i="13"/>
  <c r="J22" i="13" s="1"/>
  <c r="C8" i="5"/>
  <c r="C20" i="13"/>
  <c r="C22" i="13" s="1"/>
  <c r="G20" i="13"/>
  <c r="G22" i="13" s="1"/>
  <c r="H51" i="13"/>
  <c r="H20" i="13"/>
  <c r="B21" i="5"/>
  <c r="B22" i="5" s="1"/>
  <c r="C22" i="5" s="1"/>
  <c r="Q14" i="13"/>
  <c r="Q16" i="13" s="1"/>
  <c r="Q17" i="13" s="1"/>
  <c r="Q12" i="13"/>
  <c r="Q18" i="13" s="1"/>
  <c r="U14" i="13"/>
  <c r="U16" i="13" s="1"/>
  <c r="U12" i="13"/>
  <c r="U18" i="13" s="1"/>
  <c r="D51" i="13"/>
  <c r="D64" i="13"/>
  <c r="D76" i="13" s="1"/>
  <c r="W48" i="13"/>
  <c r="X48" i="13"/>
  <c r="B81" i="13"/>
  <c r="E42" i="13"/>
  <c r="E44" i="13" s="1"/>
  <c r="E40" i="13"/>
  <c r="L42" i="13"/>
  <c r="L44" i="13" s="1"/>
  <c r="L40" i="13"/>
  <c r="S42" i="13"/>
  <c r="S44" i="13" s="1"/>
  <c r="S40" i="13"/>
  <c r="I40" i="13"/>
  <c r="I42" i="13"/>
  <c r="I44" i="13" s="1"/>
  <c r="G42" i="13"/>
  <c r="G44" i="13" s="1"/>
  <c r="G40" i="13"/>
  <c r="T14" i="13"/>
  <c r="T16" i="13" s="1"/>
  <c r="T12" i="13"/>
  <c r="T18" i="13" s="1"/>
  <c r="M42" i="13"/>
  <c r="M44" i="13" s="1"/>
  <c r="M40" i="13"/>
  <c r="S14" i="13"/>
  <c r="S16" i="13" s="1"/>
  <c r="S12" i="13"/>
  <c r="S18" i="13" s="1"/>
  <c r="T42" i="13"/>
  <c r="T44" i="13" s="1"/>
  <c r="T40" i="13"/>
  <c r="H14" i="13"/>
  <c r="H16" i="13" s="1"/>
  <c r="H12" i="13"/>
  <c r="H18" i="13" s="1"/>
  <c r="Q42" i="13"/>
  <c r="Q44" i="13" s="1"/>
  <c r="Q40" i="13"/>
  <c r="F14" i="13"/>
  <c r="F16" i="13" s="1"/>
  <c r="F12" i="13"/>
  <c r="F18" i="13" s="1"/>
  <c r="O42" i="13"/>
  <c r="O44" i="13" s="1"/>
  <c r="O40" i="13"/>
  <c r="V42" i="13"/>
  <c r="V44" i="13" s="1"/>
  <c r="V40" i="13"/>
  <c r="V46" i="13" s="1"/>
  <c r="X19" i="13"/>
  <c r="S26" i="13"/>
  <c r="T26" i="13" s="1"/>
  <c r="U26" i="13" s="1"/>
  <c r="V26" i="13" s="1"/>
  <c r="J74" i="13"/>
  <c r="J76" i="13" s="1"/>
  <c r="K2" i="13"/>
  <c r="C52" i="2"/>
  <c r="V39" i="3"/>
  <c r="C19" i="5"/>
  <c r="C26" i="5"/>
  <c r="B19" i="5"/>
  <c r="B20" i="5"/>
  <c r="C20" i="5" s="1"/>
  <c r="D20" i="5" s="1"/>
  <c r="B48" i="12"/>
  <c r="B50" i="12" s="1"/>
  <c r="C10" i="5"/>
  <c r="X37" i="12"/>
  <c r="W37" i="12"/>
  <c r="B39" i="12"/>
  <c r="B11" i="12"/>
  <c r="X11" i="12" s="1"/>
  <c r="X9" i="12"/>
  <c r="W9" i="12"/>
  <c r="L41" i="12"/>
  <c r="L43" i="12" s="1"/>
  <c r="L34" i="12"/>
  <c r="E6" i="12"/>
  <c r="E17" i="12" s="1"/>
  <c r="E13" i="12"/>
  <c r="E15" i="12" s="1"/>
  <c r="N48" i="12"/>
  <c r="S13" i="12"/>
  <c r="S15" i="12" s="1"/>
  <c r="S6" i="12"/>
  <c r="S17" i="12" s="1"/>
  <c r="R13" i="12"/>
  <c r="R15" i="12" s="1"/>
  <c r="R6" i="12"/>
  <c r="R17" i="12" s="1"/>
  <c r="Q19" i="12"/>
  <c r="Q21" i="12" s="1"/>
  <c r="I48" i="12"/>
  <c r="I13" i="12"/>
  <c r="I15" i="12" s="1"/>
  <c r="I6" i="12"/>
  <c r="I17" i="12" s="1"/>
  <c r="G13" i="12"/>
  <c r="G15" i="12" s="1"/>
  <c r="G6" i="12"/>
  <c r="G17" i="12" s="1"/>
  <c r="P41" i="12"/>
  <c r="P43" i="12" s="1"/>
  <c r="P34" i="12"/>
  <c r="S48" i="12"/>
  <c r="M19" i="12"/>
  <c r="M21" i="12" s="1"/>
  <c r="V48" i="12"/>
  <c r="E19" i="12"/>
  <c r="E21" i="12" s="1"/>
  <c r="V6" i="12"/>
  <c r="V17" i="12" s="1"/>
  <c r="V13" i="12"/>
  <c r="V15" i="12" s="1"/>
  <c r="F6" i="12"/>
  <c r="F17" i="12" s="1"/>
  <c r="F13" i="12"/>
  <c r="F15" i="12" s="1"/>
  <c r="M48" i="12"/>
  <c r="R48" i="12"/>
  <c r="X4" i="12"/>
  <c r="B13" i="12"/>
  <c r="W4" i="12"/>
  <c r="B6" i="12"/>
  <c r="Q41" i="12"/>
  <c r="Q43" i="12" s="1"/>
  <c r="Q34" i="12"/>
  <c r="N19" i="12"/>
  <c r="N21" i="12" s="1"/>
  <c r="I41" i="12"/>
  <c r="I43" i="12" s="1"/>
  <c r="I34" i="12"/>
  <c r="I19" i="12"/>
  <c r="I21" i="12" s="1"/>
  <c r="P48" i="12"/>
  <c r="S41" i="12"/>
  <c r="S43" i="12" s="1"/>
  <c r="S34" i="12"/>
  <c r="H34" i="12"/>
  <c r="H41" i="12"/>
  <c r="H43" i="12" s="1"/>
  <c r="H13" i="12"/>
  <c r="H15" i="12" s="1"/>
  <c r="H6" i="12"/>
  <c r="H17" i="12" s="1"/>
  <c r="N34" i="12"/>
  <c r="N41" i="12"/>
  <c r="N43" i="12" s="1"/>
  <c r="D48" i="12"/>
  <c r="D50" i="12" s="1"/>
  <c r="M41" i="12"/>
  <c r="M43" i="12" s="1"/>
  <c r="M34" i="12"/>
  <c r="R41" i="12"/>
  <c r="R43" i="12" s="1"/>
  <c r="R34" i="12"/>
  <c r="R19" i="12"/>
  <c r="R21" i="12" s="1"/>
  <c r="Q48" i="12"/>
  <c r="Q6" i="12"/>
  <c r="Q17" i="12" s="1"/>
  <c r="Q13" i="12"/>
  <c r="Q15" i="12" s="1"/>
  <c r="H48" i="12"/>
  <c r="H19" i="12"/>
  <c r="H21" i="12" s="1"/>
  <c r="V34" i="12"/>
  <c r="V41" i="12"/>
  <c r="V43" i="12" s="1"/>
  <c r="D6" i="12"/>
  <c r="D17" i="12" s="1"/>
  <c r="D13" i="12"/>
  <c r="D15" i="12" s="1"/>
  <c r="F19" i="12"/>
  <c r="F21" i="12" s="1"/>
  <c r="K19" i="12"/>
  <c r="K21" i="12" s="1"/>
  <c r="E48" i="12"/>
  <c r="J48" i="12"/>
  <c r="J50" i="12" s="1"/>
  <c r="K48" i="12"/>
  <c r="C41" i="12"/>
  <c r="C43" i="12" s="1"/>
  <c r="C34" i="12"/>
  <c r="D41" i="12"/>
  <c r="D43" i="12" s="1"/>
  <c r="D34" i="12"/>
  <c r="D19" i="12"/>
  <c r="D21" i="12" s="1"/>
  <c r="K13" i="12"/>
  <c r="K15" i="12" s="1"/>
  <c r="K6" i="12"/>
  <c r="K17" i="12" s="1"/>
  <c r="E34" i="12"/>
  <c r="E41" i="12"/>
  <c r="E43" i="12" s="1"/>
  <c r="O19" i="12"/>
  <c r="O21" i="12" s="1"/>
  <c r="B41" i="12"/>
  <c r="B34" i="12"/>
  <c r="B106" i="12" s="1"/>
  <c r="X32" i="12"/>
  <c r="W32" i="12"/>
  <c r="U6" i="12"/>
  <c r="U17" i="12" s="1"/>
  <c r="U13" i="12"/>
  <c r="U15" i="12" s="1"/>
  <c r="K34" i="12"/>
  <c r="K41" i="12"/>
  <c r="K43" i="12" s="1"/>
  <c r="C48" i="12"/>
  <c r="F48" i="12"/>
  <c r="J13" i="12"/>
  <c r="J15" i="12" s="1"/>
  <c r="J6" i="12"/>
  <c r="J17" i="12" s="1"/>
  <c r="J41" i="12"/>
  <c r="J43" i="12" s="1"/>
  <c r="J34" i="12"/>
  <c r="C19" i="12"/>
  <c r="C21" i="12" s="1"/>
  <c r="O13" i="12"/>
  <c r="O15" i="12" s="1"/>
  <c r="O6" i="12"/>
  <c r="O17" i="12" s="1"/>
  <c r="O48" i="12"/>
  <c r="P13" i="12"/>
  <c r="P15" i="12" s="1"/>
  <c r="P6" i="12"/>
  <c r="P17" i="12" s="1"/>
  <c r="L48" i="12"/>
  <c r="L6" i="12"/>
  <c r="L17" i="12" s="1"/>
  <c r="L13" i="12"/>
  <c r="L15" i="12" s="1"/>
  <c r="T6" i="12"/>
  <c r="T17" i="12" s="1"/>
  <c r="T13" i="12"/>
  <c r="T15" i="12" s="1"/>
  <c r="U48" i="12"/>
  <c r="F34" i="12"/>
  <c r="F41" i="12"/>
  <c r="F43" i="12" s="1"/>
  <c r="C6" i="12"/>
  <c r="C17" i="12" s="1"/>
  <c r="C13" i="12"/>
  <c r="C15" i="12" s="1"/>
  <c r="P19" i="12"/>
  <c r="P21" i="12" s="1"/>
  <c r="U19" i="12"/>
  <c r="U21" i="12" s="1"/>
  <c r="G48" i="12"/>
  <c r="T48" i="12"/>
  <c r="L19" i="12"/>
  <c r="L21" i="12" s="1"/>
  <c r="T19" i="12"/>
  <c r="T21" i="12" s="1"/>
  <c r="U34" i="12"/>
  <c r="U41" i="12"/>
  <c r="U43" i="12" s="1"/>
  <c r="V19" i="12"/>
  <c r="V21" i="12" s="1"/>
  <c r="S19" i="12"/>
  <c r="S21" i="12" s="1"/>
  <c r="J19" i="12"/>
  <c r="J21" i="12" s="1"/>
  <c r="N6" i="12"/>
  <c r="N17" i="12" s="1"/>
  <c r="N13" i="12"/>
  <c r="N15" i="12" s="1"/>
  <c r="G19" i="12"/>
  <c r="G21" i="12" s="1"/>
  <c r="O41" i="12"/>
  <c r="O43" i="12" s="1"/>
  <c r="O34" i="12"/>
  <c r="G34" i="12"/>
  <c r="G41" i="12"/>
  <c r="G43" i="12" s="1"/>
  <c r="T41" i="12"/>
  <c r="T43" i="12" s="1"/>
  <c r="T34" i="12"/>
  <c r="M13" i="12"/>
  <c r="M15" i="12" s="1"/>
  <c r="M6" i="12"/>
  <c r="M17" i="12" s="1"/>
  <c r="X42" i="12"/>
  <c r="W20" i="12"/>
  <c r="X49" i="12"/>
  <c r="W42" i="12"/>
  <c r="W14" i="12"/>
  <c r="X38" i="2"/>
  <c r="V65" i="12"/>
  <c r="W33" i="3"/>
  <c r="Q37" i="3"/>
  <c r="Q42" i="3" s="1"/>
  <c r="W38" i="3"/>
  <c r="X40" i="3"/>
  <c r="X38" i="3"/>
  <c r="W15" i="3"/>
  <c r="S39" i="3"/>
  <c r="Q18" i="3"/>
  <c r="B58" i="12"/>
  <c r="C99" i="12"/>
  <c r="E82" i="12"/>
  <c r="C87" i="12"/>
  <c r="B80" i="12"/>
  <c r="F54" i="12"/>
  <c r="D52" i="12"/>
  <c r="D63" i="12"/>
  <c r="X47" i="12"/>
  <c r="W47" i="12"/>
  <c r="B19" i="12"/>
  <c r="D68" i="12"/>
  <c r="D75" i="12" s="1"/>
  <c r="S68" i="12"/>
  <c r="S75" i="12" s="1"/>
  <c r="C23" i="12"/>
  <c r="W33" i="2"/>
  <c r="Q37" i="2"/>
  <c r="Q42" i="2" s="1"/>
  <c r="D35" i="2"/>
  <c r="C36" i="2" s="1"/>
  <c r="E49" i="7"/>
  <c r="E50" i="7"/>
  <c r="B8" i="5"/>
  <c r="B9" i="5"/>
  <c r="C9" i="5" s="1"/>
  <c r="D9" i="5" s="1"/>
  <c r="B10" i="5"/>
  <c r="B11" i="5" s="1"/>
  <c r="B26" i="5"/>
  <c r="E21" i="5"/>
  <c r="D8" i="5"/>
  <c r="D10" i="5"/>
  <c r="D35" i="3"/>
  <c r="C36" i="3" s="1"/>
  <c r="C40" i="3"/>
  <c r="B36" i="3"/>
  <c r="D16" i="3"/>
  <c r="E14" i="2"/>
  <c r="D19" i="5"/>
  <c r="D21" i="5"/>
  <c r="F19" i="5"/>
  <c r="D26" i="5"/>
  <c r="H17" i="17" l="1"/>
  <c r="D36" i="24"/>
  <c r="F35" i="24"/>
  <c r="F83" i="17"/>
  <c r="E88" i="17" s="1"/>
  <c r="W64" i="18"/>
  <c r="F83" i="19"/>
  <c r="E88" i="19" s="1"/>
  <c r="H15" i="22"/>
  <c r="H12" i="22" s="1"/>
  <c r="H73" i="22" s="1"/>
  <c r="B65" i="22"/>
  <c r="C65" i="22"/>
  <c r="W11" i="22"/>
  <c r="N17" i="18"/>
  <c r="P17" i="17"/>
  <c r="G17" i="19"/>
  <c r="U17" i="19"/>
  <c r="K17" i="20"/>
  <c r="S15" i="22"/>
  <c r="S12" i="22" s="1"/>
  <c r="S73" i="22" s="1"/>
  <c r="F83" i="18"/>
  <c r="E88" i="18" s="1"/>
  <c r="Q17" i="18"/>
  <c r="B17" i="22"/>
  <c r="C17" i="22" s="1"/>
  <c r="B69" i="22"/>
  <c r="W68" i="22"/>
  <c r="X68" i="22"/>
  <c r="Y68" i="22" s="1"/>
  <c r="Y13" i="22"/>
  <c r="X43" i="22"/>
  <c r="W59" i="22"/>
  <c r="G4" i="22"/>
  <c r="G54" i="22"/>
  <c r="M4" i="22"/>
  <c r="M65" i="22" s="1"/>
  <c r="M54" i="22"/>
  <c r="Q4" i="22"/>
  <c r="Q65" i="22" s="1"/>
  <c r="Q54" i="22"/>
  <c r="L4" i="22"/>
  <c r="L54" i="22"/>
  <c r="I4" i="22"/>
  <c r="I54" i="22"/>
  <c r="D8" i="22"/>
  <c r="D69" i="22" s="1"/>
  <c r="D58" i="22"/>
  <c r="Q17" i="19"/>
  <c r="J15" i="22"/>
  <c r="J12" i="22" s="1"/>
  <c r="J73" i="22" s="1"/>
  <c r="X59" i="22"/>
  <c r="Y60" i="22" s="1"/>
  <c r="U4" i="22"/>
  <c r="U65" i="22" s="1"/>
  <c r="U54" i="22"/>
  <c r="O4" i="22"/>
  <c r="O65" i="22" s="1"/>
  <c r="O54" i="22"/>
  <c r="T4" i="22"/>
  <c r="T65" i="22" s="1"/>
  <c r="T54" i="22"/>
  <c r="F4" i="22"/>
  <c r="F54" i="22"/>
  <c r="N4" i="22"/>
  <c r="N65" i="22" s="1"/>
  <c r="N54" i="22"/>
  <c r="E15" i="22"/>
  <c r="E12" i="22" s="1"/>
  <c r="E73" i="22" s="1"/>
  <c r="E54" i="22"/>
  <c r="S4" i="22"/>
  <c r="S65" i="22" s="1"/>
  <c r="S54" i="22"/>
  <c r="X53" i="22"/>
  <c r="Y53" i="22" s="1"/>
  <c r="W53" i="22"/>
  <c r="V17" i="17"/>
  <c r="J17" i="18"/>
  <c r="J17" i="21"/>
  <c r="F17" i="20"/>
  <c r="K17" i="19"/>
  <c r="U15" i="22"/>
  <c r="U12" i="22" s="1"/>
  <c r="U73" i="22" s="1"/>
  <c r="H4" i="22"/>
  <c r="R4" i="22"/>
  <c r="R65" i="22" s="1"/>
  <c r="R54" i="22"/>
  <c r="K4" i="22"/>
  <c r="K54" i="22"/>
  <c r="W70" i="22"/>
  <c r="X70" i="22"/>
  <c r="P4" i="22"/>
  <c r="P65" i="22" s="1"/>
  <c r="P54" i="22"/>
  <c r="D4" i="22"/>
  <c r="D54" i="22"/>
  <c r="J8" i="22"/>
  <c r="J69" i="22" s="1"/>
  <c r="J58" i="22"/>
  <c r="V4" i="22"/>
  <c r="V65" i="22" s="1"/>
  <c r="V54" i="22"/>
  <c r="U17" i="18"/>
  <c r="P17" i="21"/>
  <c r="J17" i="19"/>
  <c r="G15" i="22"/>
  <c r="G12" i="22" s="1"/>
  <c r="G73" i="22" s="1"/>
  <c r="J4" i="22"/>
  <c r="S8" i="22"/>
  <c r="C10" i="23"/>
  <c r="J10" i="23" s="1"/>
  <c r="L10" i="23" s="1"/>
  <c r="L24" i="22"/>
  <c r="C13" i="23"/>
  <c r="J13" i="23" s="1"/>
  <c r="L13" i="23" s="1"/>
  <c r="M24" i="22"/>
  <c r="K15" i="22"/>
  <c r="K12" i="22" s="1"/>
  <c r="K73" i="22" s="1"/>
  <c r="T15" i="22"/>
  <c r="T12" i="22" s="1"/>
  <c r="T73" i="22" s="1"/>
  <c r="L17" i="17"/>
  <c r="J17" i="13"/>
  <c r="W77" i="12"/>
  <c r="E17" i="18"/>
  <c r="W69" i="21"/>
  <c r="X64" i="17"/>
  <c r="P17" i="20"/>
  <c r="W7" i="22"/>
  <c r="V17" i="19"/>
  <c r="X69" i="19"/>
  <c r="C52" i="24"/>
  <c r="W51" i="24" s="1"/>
  <c r="G16" i="24"/>
  <c r="F17" i="24" s="1"/>
  <c r="G40" i="24"/>
  <c r="F41" i="24" s="1"/>
  <c r="E17" i="24"/>
  <c r="R17" i="17"/>
  <c r="X69" i="21"/>
  <c r="W71" i="21"/>
  <c r="D15" i="22"/>
  <c r="D12" i="22" s="1"/>
  <c r="D73" i="22" s="1"/>
  <c r="P15" i="22"/>
  <c r="P12" i="22" s="1"/>
  <c r="P73" i="22" s="1"/>
  <c r="I15" i="22"/>
  <c r="I12" i="22" s="1"/>
  <c r="I73" i="22" s="1"/>
  <c r="M15" i="22"/>
  <c r="M12" i="22" s="1"/>
  <c r="M73" i="22" s="1"/>
  <c r="Y7" i="22"/>
  <c r="S17" i="17"/>
  <c r="G83" i="21"/>
  <c r="F88" i="21" s="1"/>
  <c r="D20" i="22"/>
  <c r="E20" i="22" s="1"/>
  <c r="F20" i="22" s="1"/>
  <c r="G20" i="22" s="1"/>
  <c r="H20" i="22" s="1"/>
  <c r="I20" i="22" s="1"/>
  <c r="J20" i="22" s="1"/>
  <c r="K20" i="22" s="1"/>
  <c r="L20" i="22" s="1"/>
  <c r="M20" i="22" s="1"/>
  <c r="G17" i="13"/>
  <c r="T17" i="17"/>
  <c r="X69" i="18"/>
  <c r="C17" i="20"/>
  <c r="E17" i="21"/>
  <c r="I17" i="21"/>
  <c r="L17" i="21"/>
  <c r="X7" i="22"/>
  <c r="C14" i="23" s="1"/>
  <c r="J14" i="23" s="1"/>
  <c r="L14" i="23" s="1"/>
  <c r="Q15" i="22"/>
  <c r="Q12" i="22" s="1"/>
  <c r="Q73" i="22" s="1"/>
  <c r="L15" i="22"/>
  <c r="L12" i="22" s="1"/>
  <c r="L73" i="22" s="1"/>
  <c r="X11" i="22"/>
  <c r="C15" i="23" s="1"/>
  <c r="J15" i="23" s="1"/>
  <c r="L15" i="23" s="1"/>
  <c r="Y11" i="22"/>
  <c r="X69" i="20"/>
  <c r="I17" i="19"/>
  <c r="P17" i="19"/>
  <c r="U17" i="13"/>
  <c r="M17" i="18"/>
  <c r="X71" i="19"/>
  <c r="G17" i="20"/>
  <c r="F17" i="21"/>
  <c r="S17" i="21"/>
  <c r="D17" i="20"/>
  <c r="B12" i="22"/>
  <c r="B73" i="22" s="1"/>
  <c r="W69" i="20"/>
  <c r="X64" i="20"/>
  <c r="N1" i="20" s="1"/>
  <c r="T17" i="19"/>
  <c r="M17" i="13"/>
  <c r="H45" i="13"/>
  <c r="X69" i="17"/>
  <c r="I17" i="18"/>
  <c r="D17" i="17"/>
  <c r="W70" i="12"/>
  <c r="E17" i="20"/>
  <c r="V17" i="13"/>
  <c r="S17" i="13"/>
  <c r="F17" i="17"/>
  <c r="B70" i="21"/>
  <c r="B70" i="19"/>
  <c r="B70" i="20"/>
  <c r="S108" i="20"/>
  <c r="S109" i="20" s="1"/>
  <c r="R46" i="20"/>
  <c r="U46" i="19"/>
  <c r="V108" i="19"/>
  <c r="V109" i="19" s="1"/>
  <c r="O65" i="19"/>
  <c r="O67" i="19" s="1"/>
  <c r="O51" i="19"/>
  <c r="O45" i="19" s="1"/>
  <c r="P65" i="19"/>
  <c r="P67" i="19" s="1"/>
  <c r="P51" i="19"/>
  <c r="P45" i="19" s="1"/>
  <c r="J46" i="20"/>
  <c r="K108" i="20"/>
  <c r="K109" i="20" s="1"/>
  <c r="C81" i="21"/>
  <c r="D81" i="21" s="1"/>
  <c r="N65" i="20"/>
  <c r="N67" i="20" s="1"/>
  <c r="N51" i="20"/>
  <c r="N45" i="20" s="1"/>
  <c r="S46" i="21"/>
  <c r="T108" i="21"/>
  <c r="T109" i="21" s="1"/>
  <c r="E65" i="21"/>
  <c r="E51" i="21"/>
  <c r="E45" i="21" s="1"/>
  <c r="T46" i="21"/>
  <c r="U108" i="21"/>
  <c r="U109" i="21" s="1"/>
  <c r="C65" i="19"/>
  <c r="C51" i="19"/>
  <c r="C45" i="19" s="1"/>
  <c r="P108" i="21"/>
  <c r="P109" i="21" s="1"/>
  <c r="O46" i="21"/>
  <c r="P46" i="21"/>
  <c r="Q108" i="21"/>
  <c r="Q109" i="21" s="1"/>
  <c r="D46" i="19"/>
  <c r="E108" i="19"/>
  <c r="E109" i="19" s="1"/>
  <c r="G65" i="20"/>
  <c r="G51" i="20"/>
  <c r="G45" i="20" s="1"/>
  <c r="W40" i="21"/>
  <c r="X40" i="21"/>
  <c r="B46" i="21"/>
  <c r="C108" i="21"/>
  <c r="C109" i="21" s="1"/>
  <c r="I46" i="19"/>
  <c r="J108" i="19"/>
  <c r="J109" i="19" s="1"/>
  <c r="S46" i="20"/>
  <c r="T108" i="20"/>
  <c r="T109" i="20" s="1"/>
  <c r="L46" i="19"/>
  <c r="M108" i="19"/>
  <c r="M109" i="19" s="1"/>
  <c r="B25" i="21"/>
  <c r="X20" i="21"/>
  <c r="B22" i="21"/>
  <c r="T65" i="20"/>
  <c r="T67" i="20" s="1"/>
  <c r="T51" i="20"/>
  <c r="T45" i="20" s="1"/>
  <c r="H65" i="19"/>
  <c r="H51" i="19"/>
  <c r="H45" i="19" s="1"/>
  <c r="D108" i="21"/>
  <c r="D109" i="21" s="1"/>
  <c r="C46" i="21"/>
  <c r="B109" i="20"/>
  <c r="X107" i="20"/>
  <c r="O65" i="20"/>
  <c r="O67" i="20" s="1"/>
  <c r="O51" i="20"/>
  <c r="O45" i="20" s="1"/>
  <c r="F65" i="19"/>
  <c r="F51" i="19"/>
  <c r="F45" i="19" s="1"/>
  <c r="J65" i="19"/>
  <c r="J67" i="19" s="1"/>
  <c r="J51" i="19"/>
  <c r="J45" i="19" s="1"/>
  <c r="D46" i="21"/>
  <c r="E108" i="21"/>
  <c r="E109" i="21" s="1"/>
  <c r="W49" i="20"/>
  <c r="X49" i="20"/>
  <c r="B54" i="20"/>
  <c r="B65" i="20"/>
  <c r="B51" i="20"/>
  <c r="S108" i="19"/>
  <c r="S109" i="19" s="1"/>
  <c r="R46" i="19"/>
  <c r="C46" i="20"/>
  <c r="D108" i="20"/>
  <c r="D109" i="20" s="1"/>
  <c r="F46" i="21"/>
  <c r="G108" i="21"/>
  <c r="G109" i="21" s="1"/>
  <c r="N46" i="21"/>
  <c r="O108" i="21"/>
  <c r="O109" i="21" s="1"/>
  <c r="G46" i="19"/>
  <c r="H108" i="19"/>
  <c r="H109" i="19" s="1"/>
  <c r="T108" i="19"/>
  <c r="T109" i="19" s="1"/>
  <c r="S46" i="19"/>
  <c r="F108" i="19"/>
  <c r="F109" i="19" s="1"/>
  <c r="E46" i="19"/>
  <c r="N17" i="13"/>
  <c r="M17" i="17"/>
  <c r="K17" i="17"/>
  <c r="V17" i="18"/>
  <c r="W69" i="19"/>
  <c r="X71" i="21"/>
  <c r="O17" i="20"/>
  <c r="R17" i="19"/>
  <c r="D17" i="21"/>
  <c r="M17" i="19"/>
  <c r="W49" i="19"/>
  <c r="B54" i="19"/>
  <c r="X49" i="19"/>
  <c r="B65" i="19"/>
  <c r="B51" i="19"/>
  <c r="M65" i="19"/>
  <c r="M67" i="19" s="1"/>
  <c r="M51" i="19"/>
  <c r="M45" i="19" s="1"/>
  <c r="H65" i="20"/>
  <c r="H51" i="20"/>
  <c r="H45" i="20" s="1"/>
  <c r="P108" i="19"/>
  <c r="P109" i="19" s="1"/>
  <c r="O46" i="19"/>
  <c r="F46" i="20"/>
  <c r="G108" i="20"/>
  <c r="G109" i="20" s="1"/>
  <c r="P46" i="19"/>
  <c r="Q108" i="19"/>
  <c r="Q109" i="19" s="1"/>
  <c r="J65" i="20"/>
  <c r="J67" i="20" s="1"/>
  <c r="J51" i="20"/>
  <c r="J45" i="20" s="1"/>
  <c r="N46" i="20"/>
  <c r="O108" i="20"/>
  <c r="O109" i="20" s="1"/>
  <c r="B46" i="19"/>
  <c r="C108" i="19"/>
  <c r="C109" i="19" s="1"/>
  <c r="X40" i="19"/>
  <c r="W40" i="19"/>
  <c r="E46" i="21"/>
  <c r="F108" i="21"/>
  <c r="F109" i="21" s="1"/>
  <c r="M46" i="19"/>
  <c r="N108" i="19"/>
  <c r="N109" i="19" s="1"/>
  <c r="Q46" i="19"/>
  <c r="R108" i="19"/>
  <c r="R109" i="19" s="1"/>
  <c r="K46" i="20"/>
  <c r="L108" i="20"/>
  <c r="L109" i="20" s="1"/>
  <c r="B54" i="21"/>
  <c r="X49" i="21"/>
  <c r="B65" i="21"/>
  <c r="W49" i="21"/>
  <c r="B51" i="21"/>
  <c r="E46" i="20"/>
  <c r="F108" i="20"/>
  <c r="F109" i="20" s="1"/>
  <c r="B25" i="19"/>
  <c r="W20" i="19"/>
  <c r="B22" i="19"/>
  <c r="T46" i="20"/>
  <c r="U108" i="20"/>
  <c r="U109" i="20" s="1"/>
  <c r="M65" i="21"/>
  <c r="M67" i="21" s="1"/>
  <c r="M51" i="21"/>
  <c r="M45" i="21" s="1"/>
  <c r="Q65" i="21"/>
  <c r="Q67" i="21" s="1"/>
  <c r="Q51" i="21"/>
  <c r="Q45" i="21" s="1"/>
  <c r="Q108" i="20"/>
  <c r="Q109" i="20" s="1"/>
  <c r="P46" i="20"/>
  <c r="N65" i="19"/>
  <c r="N67" i="19" s="1"/>
  <c r="N51" i="19"/>
  <c r="N45" i="19" s="1"/>
  <c r="I65" i="21"/>
  <c r="I51" i="21"/>
  <c r="I45" i="21" s="1"/>
  <c r="X20" i="19"/>
  <c r="D22" i="19"/>
  <c r="D17" i="19" s="1"/>
  <c r="M65" i="20"/>
  <c r="M67" i="20" s="1"/>
  <c r="M51" i="20"/>
  <c r="M45" i="20" s="1"/>
  <c r="H65" i="21"/>
  <c r="H51" i="21"/>
  <c r="H45" i="21" s="1"/>
  <c r="Q65" i="20"/>
  <c r="Q67" i="20" s="1"/>
  <c r="Q51" i="20"/>
  <c r="Q45" i="20" s="1"/>
  <c r="X12" i="20"/>
  <c r="B18" i="20"/>
  <c r="W12" i="20"/>
  <c r="J46" i="21"/>
  <c r="K108" i="21"/>
  <c r="K109" i="21" s="1"/>
  <c r="K65" i="19"/>
  <c r="K67" i="19" s="1"/>
  <c r="K51" i="19"/>
  <c r="K45" i="19" s="1"/>
  <c r="G65" i="19"/>
  <c r="G51" i="19"/>
  <c r="G45" i="19" s="1"/>
  <c r="J108" i="20"/>
  <c r="J109" i="20" s="1"/>
  <c r="I46" i="20"/>
  <c r="R65" i="21"/>
  <c r="R67" i="21" s="1"/>
  <c r="R51" i="21"/>
  <c r="R45" i="21" s="1"/>
  <c r="M108" i="20"/>
  <c r="M109" i="20" s="1"/>
  <c r="L46" i="20"/>
  <c r="E16" i="12"/>
  <c r="D45" i="13"/>
  <c r="F17" i="13"/>
  <c r="H17" i="19"/>
  <c r="G17" i="21"/>
  <c r="F17" i="19"/>
  <c r="W71" i="19"/>
  <c r="H17" i="20"/>
  <c r="K17" i="21"/>
  <c r="C17" i="19"/>
  <c r="M17" i="20"/>
  <c r="O17" i="21"/>
  <c r="Q17" i="20"/>
  <c r="S17" i="19"/>
  <c r="T17" i="20"/>
  <c r="N17" i="20"/>
  <c r="T46" i="19"/>
  <c r="U108" i="19"/>
  <c r="U109" i="19" s="1"/>
  <c r="K46" i="21"/>
  <c r="L108" i="21"/>
  <c r="L109" i="21" s="1"/>
  <c r="D24" i="20"/>
  <c r="C101" i="20"/>
  <c r="D81" i="19"/>
  <c r="C86" i="19" s="1"/>
  <c r="C70" i="20"/>
  <c r="C72" i="20" s="1"/>
  <c r="C79" i="20" s="1"/>
  <c r="C70" i="21"/>
  <c r="C70" i="19"/>
  <c r="T65" i="19"/>
  <c r="T67" i="19" s="1"/>
  <c r="T51" i="19"/>
  <c r="T45" i="19" s="1"/>
  <c r="C101" i="21"/>
  <c r="D24" i="21"/>
  <c r="H46" i="20"/>
  <c r="I108" i="20"/>
  <c r="I109" i="20" s="1"/>
  <c r="U65" i="19"/>
  <c r="U67" i="19" s="1"/>
  <c r="U51" i="19"/>
  <c r="U45" i="19" s="1"/>
  <c r="F65" i="20"/>
  <c r="F51" i="20"/>
  <c r="F45" i="20" s="1"/>
  <c r="K65" i="21"/>
  <c r="K67" i="21" s="1"/>
  <c r="K51" i="21"/>
  <c r="K45" i="21" s="1"/>
  <c r="G65" i="21"/>
  <c r="G51" i="21"/>
  <c r="G45" i="21" s="1"/>
  <c r="W42" i="19"/>
  <c r="X42" i="19"/>
  <c r="B44" i="19"/>
  <c r="R65" i="20"/>
  <c r="R67" i="20" s="1"/>
  <c r="R51" i="20"/>
  <c r="R45" i="20" s="1"/>
  <c r="S65" i="21"/>
  <c r="S67" i="21" s="1"/>
  <c r="S51" i="21"/>
  <c r="S45" i="21" s="1"/>
  <c r="X71" i="20"/>
  <c r="W71" i="20"/>
  <c r="W20" i="21"/>
  <c r="C22" i="21"/>
  <c r="C17" i="21" s="1"/>
  <c r="T65" i="21"/>
  <c r="T67" i="21" s="1"/>
  <c r="T51" i="21"/>
  <c r="T45" i="21" s="1"/>
  <c r="U65" i="21"/>
  <c r="U67" i="21" s="1"/>
  <c r="U51" i="21"/>
  <c r="U45" i="21" s="1"/>
  <c r="P65" i="21"/>
  <c r="P67" i="21" s="1"/>
  <c r="P51" i="21"/>
  <c r="P45" i="21" s="1"/>
  <c r="X14" i="19"/>
  <c r="W14" i="19"/>
  <c r="B16" i="19"/>
  <c r="N108" i="21"/>
  <c r="N109" i="21" s="1"/>
  <c r="M46" i="21"/>
  <c r="C65" i="21"/>
  <c r="C51" i="21"/>
  <c r="C45" i="21" s="1"/>
  <c r="U65" i="20"/>
  <c r="U67" i="20" s="1"/>
  <c r="U51" i="20"/>
  <c r="U45" i="20" s="1"/>
  <c r="X107" i="21"/>
  <c r="B109" i="21"/>
  <c r="B110" i="21" s="1"/>
  <c r="P108" i="20"/>
  <c r="P109" i="20" s="1"/>
  <c r="O46" i="20"/>
  <c r="F46" i="19"/>
  <c r="G108" i="19"/>
  <c r="G109" i="19" s="1"/>
  <c r="W12" i="21"/>
  <c r="X12" i="21"/>
  <c r="B18" i="21"/>
  <c r="J46" i="19"/>
  <c r="K108" i="19"/>
  <c r="K109" i="19" s="1"/>
  <c r="D100" i="19"/>
  <c r="E53" i="19"/>
  <c r="D59" i="19" s="1"/>
  <c r="B46" i="20"/>
  <c r="C108" i="20"/>
  <c r="C109" i="20" s="1"/>
  <c r="W40" i="20"/>
  <c r="X40" i="20"/>
  <c r="L65" i="21"/>
  <c r="L67" i="21" s="1"/>
  <c r="L51" i="21"/>
  <c r="L45" i="21" s="1"/>
  <c r="V65" i="21"/>
  <c r="V67" i="21" s="1"/>
  <c r="V51" i="21"/>
  <c r="V45" i="21" s="1"/>
  <c r="N108" i="20"/>
  <c r="N109" i="20" s="1"/>
  <c r="M46" i="20"/>
  <c r="F65" i="21"/>
  <c r="F51" i="21"/>
  <c r="F45" i="21" s="1"/>
  <c r="X14" i="20"/>
  <c r="W14" i="20"/>
  <c r="B16" i="20"/>
  <c r="L108" i="19"/>
  <c r="L109" i="19" s="1"/>
  <c r="K46" i="19"/>
  <c r="E108" i="20"/>
  <c r="E109" i="20" s="1"/>
  <c r="D46" i="20"/>
  <c r="I65" i="20"/>
  <c r="I51" i="20"/>
  <c r="I45" i="20" s="1"/>
  <c r="E65" i="19"/>
  <c r="E51" i="19"/>
  <c r="E45" i="19" s="1"/>
  <c r="G17" i="18"/>
  <c r="J17" i="20"/>
  <c r="Z26" i="19"/>
  <c r="V17" i="20"/>
  <c r="U17" i="20"/>
  <c r="O17" i="19"/>
  <c r="Q17" i="21"/>
  <c r="R17" i="20"/>
  <c r="I17" i="20"/>
  <c r="N17" i="21"/>
  <c r="D70" i="21"/>
  <c r="D70" i="19"/>
  <c r="D72" i="19" s="1"/>
  <c r="D79" i="19" s="1"/>
  <c r="D70" i="20"/>
  <c r="D72" i="20" s="1"/>
  <c r="D79" i="20" s="1"/>
  <c r="V65" i="20"/>
  <c r="V67" i="20" s="1"/>
  <c r="V51" i="20"/>
  <c r="V45" i="20" s="1"/>
  <c r="G46" i="21"/>
  <c r="H108" i="21"/>
  <c r="H109" i="21" s="1"/>
  <c r="D24" i="19"/>
  <c r="C101" i="19"/>
  <c r="C46" i="19"/>
  <c r="D108" i="19"/>
  <c r="D109" i="19" s="1"/>
  <c r="V108" i="21"/>
  <c r="V109" i="21" s="1"/>
  <c r="U46" i="21"/>
  <c r="C59" i="21"/>
  <c r="D100" i="21"/>
  <c r="E53" i="21"/>
  <c r="D59" i="21" s="1"/>
  <c r="O65" i="21"/>
  <c r="O67" i="21" s="1"/>
  <c r="O51" i="21"/>
  <c r="O45" i="21" s="1"/>
  <c r="Q65" i="19"/>
  <c r="Q67" i="19" s="1"/>
  <c r="Q51" i="19"/>
  <c r="Q45" i="19" s="1"/>
  <c r="X12" i="19"/>
  <c r="B18" i="19"/>
  <c r="W12" i="19"/>
  <c r="K65" i="20"/>
  <c r="K67" i="20" s="1"/>
  <c r="K51" i="20"/>
  <c r="K45" i="20" s="1"/>
  <c r="D65" i="19"/>
  <c r="D51" i="19"/>
  <c r="D45" i="19" s="1"/>
  <c r="B109" i="19"/>
  <c r="X107" i="19"/>
  <c r="G46" i="20"/>
  <c r="H108" i="20"/>
  <c r="H109" i="20" s="1"/>
  <c r="W42" i="21"/>
  <c r="X42" i="21"/>
  <c r="B44" i="21"/>
  <c r="I65" i="19"/>
  <c r="I51" i="19"/>
  <c r="I45" i="19" s="1"/>
  <c r="S65" i="20"/>
  <c r="S67" i="20" s="1"/>
  <c r="S51" i="20"/>
  <c r="S45" i="20" s="1"/>
  <c r="L65" i="19"/>
  <c r="L67" i="19" s="1"/>
  <c r="L51" i="19"/>
  <c r="L45" i="19" s="1"/>
  <c r="E65" i="20"/>
  <c r="E51" i="20"/>
  <c r="E45" i="20" s="1"/>
  <c r="C81" i="20"/>
  <c r="B25" i="20"/>
  <c r="W20" i="20"/>
  <c r="X20" i="20"/>
  <c r="B22" i="20"/>
  <c r="V65" i="19"/>
  <c r="V67" i="19" s="1"/>
  <c r="V51" i="19"/>
  <c r="V45" i="19" s="1"/>
  <c r="I108" i="19"/>
  <c r="I109" i="19" s="1"/>
  <c r="H46" i="19"/>
  <c r="V108" i="20"/>
  <c r="V109" i="20" s="1"/>
  <c r="U46" i="20"/>
  <c r="R108" i="21"/>
  <c r="R109" i="21" s="1"/>
  <c r="Q46" i="21"/>
  <c r="P65" i="20"/>
  <c r="P67" i="20" s="1"/>
  <c r="P51" i="20"/>
  <c r="P45" i="20" s="1"/>
  <c r="W14" i="21"/>
  <c r="X14" i="21"/>
  <c r="B16" i="21"/>
  <c r="D65" i="21"/>
  <c r="D51" i="21"/>
  <c r="D45" i="21" s="1"/>
  <c r="N46" i="19"/>
  <c r="O108" i="19"/>
  <c r="O109" i="19" s="1"/>
  <c r="X42" i="20"/>
  <c r="W42" i="20"/>
  <c r="B44" i="20"/>
  <c r="I46" i="21"/>
  <c r="J108" i="21"/>
  <c r="J109" i="21" s="1"/>
  <c r="R65" i="19"/>
  <c r="R67" i="19" s="1"/>
  <c r="R51" i="19"/>
  <c r="R45" i="19" s="1"/>
  <c r="L46" i="21"/>
  <c r="M108" i="21"/>
  <c r="M109" i="21" s="1"/>
  <c r="C59" i="20"/>
  <c r="D100" i="20"/>
  <c r="E53" i="20"/>
  <c r="D59" i="20" s="1"/>
  <c r="I108" i="21"/>
  <c r="I109" i="21" s="1"/>
  <c r="H46" i="21"/>
  <c r="C65" i="20"/>
  <c r="C51" i="20"/>
  <c r="C45" i="20" s="1"/>
  <c r="R108" i="20"/>
  <c r="R109" i="20" s="1"/>
  <c r="Q46" i="20"/>
  <c r="J65" i="21"/>
  <c r="J51" i="21"/>
  <c r="J45" i="21" s="1"/>
  <c r="D65" i="20"/>
  <c r="D51" i="20"/>
  <c r="D45" i="20" s="1"/>
  <c r="N65" i="21"/>
  <c r="N67" i="21" s="1"/>
  <c r="N51" i="21"/>
  <c r="N45" i="21" s="1"/>
  <c r="R46" i="21"/>
  <c r="S108" i="21"/>
  <c r="S109" i="21" s="1"/>
  <c r="S65" i="19"/>
  <c r="S67" i="19" s="1"/>
  <c r="S51" i="19"/>
  <c r="S45" i="19" s="1"/>
  <c r="L65" i="20"/>
  <c r="L67" i="20" s="1"/>
  <c r="L51" i="20"/>
  <c r="L45" i="20" s="1"/>
  <c r="E17" i="17"/>
  <c r="V17" i="21"/>
  <c r="S17" i="20"/>
  <c r="E17" i="19"/>
  <c r="M17" i="21"/>
  <c r="U17" i="21"/>
  <c r="R17" i="21"/>
  <c r="L17" i="19"/>
  <c r="H17" i="21"/>
  <c r="L17" i="20"/>
  <c r="N17" i="19"/>
  <c r="G83" i="20"/>
  <c r="F88" i="20" s="1"/>
  <c r="K74" i="20"/>
  <c r="L2" i="20"/>
  <c r="I55" i="20"/>
  <c r="H61" i="20" s="1"/>
  <c r="E88" i="20"/>
  <c r="J78" i="20"/>
  <c r="J76" i="20"/>
  <c r="K78" i="21"/>
  <c r="K76" i="21"/>
  <c r="J55" i="21"/>
  <c r="L74" i="21"/>
  <c r="M2" i="21"/>
  <c r="I55" i="19"/>
  <c r="H61" i="19" s="1"/>
  <c r="J78" i="19"/>
  <c r="J76" i="19"/>
  <c r="G83" i="19"/>
  <c r="F88" i="19" s="1"/>
  <c r="K74" i="19"/>
  <c r="L2" i="19"/>
  <c r="C70" i="18"/>
  <c r="C72" i="18" s="1"/>
  <c r="C79" i="18" s="1"/>
  <c r="C70" i="17"/>
  <c r="C72" i="17" s="1"/>
  <c r="C79" i="17" s="1"/>
  <c r="W42" i="18"/>
  <c r="X42" i="18"/>
  <c r="B44" i="18"/>
  <c r="V65" i="17"/>
  <c r="V67" i="17" s="1"/>
  <c r="V51" i="17"/>
  <c r="V45" i="17" s="1"/>
  <c r="D108" i="18"/>
  <c r="D109" i="18" s="1"/>
  <c r="C46" i="18"/>
  <c r="B54" i="17"/>
  <c r="X49" i="17"/>
  <c r="B65" i="17"/>
  <c r="W49" i="17"/>
  <c r="B51" i="17"/>
  <c r="L65" i="18"/>
  <c r="L67" i="18" s="1"/>
  <c r="L51" i="18"/>
  <c r="L45" i="18" s="1"/>
  <c r="E46" i="17"/>
  <c r="F108" i="17"/>
  <c r="F109" i="17" s="1"/>
  <c r="T46" i="18"/>
  <c r="U108" i="18"/>
  <c r="U109" i="18" s="1"/>
  <c r="D108" i="17"/>
  <c r="D109" i="17" s="1"/>
  <c r="C46" i="17"/>
  <c r="V108" i="17"/>
  <c r="V109" i="17" s="1"/>
  <c r="U46" i="17"/>
  <c r="G108" i="17"/>
  <c r="G109" i="17" s="1"/>
  <c r="F46" i="17"/>
  <c r="X71" i="17"/>
  <c r="W71" i="17"/>
  <c r="G65" i="18"/>
  <c r="G51" i="18"/>
  <c r="G45" i="18" s="1"/>
  <c r="J108" i="18"/>
  <c r="J109" i="18" s="1"/>
  <c r="I46" i="18"/>
  <c r="M108" i="17"/>
  <c r="M109" i="17" s="1"/>
  <c r="L46" i="17"/>
  <c r="E65" i="18"/>
  <c r="E51" i="18"/>
  <c r="E45" i="18" s="1"/>
  <c r="T46" i="17"/>
  <c r="U108" i="17"/>
  <c r="U109" i="17" s="1"/>
  <c r="Q108" i="18"/>
  <c r="Q109" i="18" s="1"/>
  <c r="P46" i="18"/>
  <c r="J46" i="18"/>
  <c r="K108" i="18"/>
  <c r="K109" i="18" s="1"/>
  <c r="K65" i="18"/>
  <c r="K67" i="18" s="1"/>
  <c r="K51" i="18"/>
  <c r="K45" i="18" s="1"/>
  <c r="B25" i="17"/>
  <c r="X20" i="17"/>
  <c r="B22" i="17"/>
  <c r="G65" i="17"/>
  <c r="G51" i="17"/>
  <c r="G45" i="17" s="1"/>
  <c r="R65" i="17"/>
  <c r="R67" i="17" s="1"/>
  <c r="R51" i="17"/>
  <c r="R45" i="17" s="1"/>
  <c r="K108" i="17"/>
  <c r="K109" i="17" s="1"/>
  <c r="J46" i="17"/>
  <c r="K65" i="17"/>
  <c r="K67" i="17" s="1"/>
  <c r="K51" i="17"/>
  <c r="K45" i="17" s="1"/>
  <c r="K17" i="13"/>
  <c r="J78" i="13"/>
  <c r="G17" i="17"/>
  <c r="S17" i="18"/>
  <c r="D81" i="17"/>
  <c r="P17" i="18"/>
  <c r="Q17" i="17"/>
  <c r="D17" i="18"/>
  <c r="L17" i="18"/>
  <c r="D70" i="18"/>
  <c r="D72" i="18" s="1"/>
  <c r="D79" i="18" s="1"/>
  <c r="D70" i="17"/>
  <c r="D72" i="17" s="1"/>
  <c r="D79" i="17" s="1"/>
  <c r="B70" i="17"/>
  <c r="B70" i="18"/>
  <c r="B54" i="18"/>
  <c r="X49" i="18"/>
  <c r="B65" i="18"/>
  <c r="W49" i="18"/>
  <c r="B51" i="18"/>
  <c r="J108" i="17"/>
  <c r="J109" i="17" s="1"/>
  <c r="I46" i="17"/>
  <c r="O65" i="17"/>
  <c r="O67" i="17" s="1"/>
  <c r="O51" i="17"/>
  <c r="O45" i="17" s="1"/>
  <c r="Q65" i="18"/>
  <c r="Q67" i="18" s="1"/>
  <c r="Q51" i="18"/>
  <c r="Q45" i="18" s="1"/>
  <c r="E53" i="18"/>
  <c r="D59" i="18" s="1"/>
  <c r="D100" i="18"/>
  <c r="W14" i="17"/>
  <c r="X14" i="17"/>
  <c r="B16" i="17"/>
  <c r="X42" i="17"/>
  <c r="W42" i="17"/>
  <c r="B44" i="17"/>
  <c r="M108" i="18"/>
  <c r="M109" i="18" s="1"/>
  <c r="L46" i="18"/>
  <c r="E65" i="17"/>
  <c r="E51" i="17"/>
  <c r="E45" i="17" s="1"/>
  <c r="M46" i="17"/>
  <c r="N108" i="17"/>
  <c r="N109" i="17" s="1"/>
  <c r="I108" i="18"/>
  <c r="I109" i="18" s="1"/>
  <c r="H46" i="18"/>
  <c r="D46" i="18"/>
  <c r="E108" i="18"/>
  <c r="E109" i="18" s="1"/>
  <c r="N65" i="18"/>
  <c r="N67" i="18" s="1"/>
  <c r="N51" i="18"/>
  <c r="N45" i="18" s="1"/>
  <c r="I65" i="18"/>
  <c r="I51" i="18"/>
  <c r="I45" i="18" s="1"/>
  <c r="R65" i="18"/>
  <c r="R67" i="18" s="1"/>
  <c r="R51" i="18"/>
  <c r="R45" i="18" s="1"/>
  <c r="S65" i="18"/>
  <c r="S67" i="18" s="1"/>
  <c r="S51" i="18"/>
  <c r="S45" i="18" s="1"/>
  <c r="F108" i="18"/>
  <c r="F109" i="18" s="1"/>
  <c r="E46" i="18"/>
  <c r="N108" i="18"/>
  <c r="N109" i="18" s="1"/>
  <c r="M46" i="18"/>
  <c r="J65" i="18"/>
  <c r="J67" i="18" s="1"/>
  <c r="J51" i="18"/>
  <c r="J45" i="18" s="1"/>
  <c r="X20" i="18"/>
  <c r="B25" i="18"/>
  <c r="W20" i="18"/>
  <c r="B22" i="18"/>
  <c r="R46" i="17"/>
  <c r="S108" i="17"/>
  <c r="S109" i="17" s="1"/>
  <c r="S65" i="17"/>
  <c r="S67" i="17" s="1"/>
  <c r="S51" i="17"/>
  <c r="S45" i="17" s="1"/>
  <c r="O65" i="18"/>
  <c r="O67" i="18" s="1"/>
  <c r="O51" i="18"/>
  <c r="O45" i="18" s="1"/>
  <c r="Q65" i="17"/>
  <c r="Q67" i="17" s="1"/>
  <c r="Q51" i="17"/>
  <c r="Q45" i="17" s="1"/>
  <c r="H46" i="17"/>
  <c r="I108" i="17"/>
  <c r="I109" i="17" s="1"/>
  <c r="L108" i="17"/>
  <c r="L109" i="17" s="1"/>
  <c r="K46" i="17"/>
  <c r="H17" i="18"/>
  <c r="C17" i="18"/>
  <c r="I65" i="17"/>
  <c r="I51" i="17"/>
  <c r="I45" i="17" s="1"/>
  <c r="P108" i="17"/>
  <c r="P109" i="17" s="1"/>
  <c r="O46" i="17"/>
  <c r="F65" i="18"/>
  <c r="F51" i="18"/>
  <c r="F45" i="18" s="1"/>
  <c r="W69" i="18"/>
  <c r="X40" i="17"/>
  <c r="W40" i="17"/>
  <c r="B46" i="17"/>
  <c r="C108" i="17"/>
  <c r="C109" i="17" s="1"/>
  <c r="B110" i="18"/>
  <c r="H65" i="18"/>
  <c r="H51" i="18"/>
  <c r="H45" i="18" s="1"/>
  <c r="U65" i="17"/>
  <c r="U67" i="17" s="1"/>
  <c r="U51" i="17"/>
  <c r="U45" i="17" s="1"/>
  <c r="B16" i="18"/>
  <c r="X14" i="18"/>
  <c r="W14" i="18"/>
  <c r="D65" i="18"/>
  <c r="D51" i="18"/>
  <c r="D45" i="18" s="1"/>
  <c r="W20" i="17"/>
  <c r="C22" i="17"/>
  <c r="C17" i="17" s="1"/>
  <c r="G46" i="18"/>
  <c r="H108" i="18"/>
  <c r="H109" i="18" s="1"/>
  <c r="R46" i="18"/>
  <c r="S108" i="18"/>
  <c r="S109" i="18" s="1"/>
  <c r="T65" i="17"/>
  <c r="T67" i="17" s="1"/>
  <c r="T51" i="17"/>
  <c r="T45" i="17" s="1"/>
  <c r="P65" i="18"/>
  <c r="P67" i="18" s="1"/>
  <c r="P51" i="18"/>
  <c r="P45" i="18" s="1"/>
  <c r="L108" i="18"/>
  <c r="L109" i="18" s="1"/>
  <c r="K46" i="18"/>
  <c r="E108" i="17"/>
  <c r="E109" i="17" s="1"/>
  <c r="D46" i="17"/>
  <c r="C81" i="18"/>
  <c r="D81" i="18" s="1"/>
  <c r="N65" i="17"/>
  <c r="N67" i="17" s="1"/>
  <c r="N51" i="17"/>
  <c r="N45" i="17" s="1"/>
  <c r="S46" i="17"/>
  <c r="T108" i="17"/>
  <c r="T109" i="17" s="1"/>
  <c r="O46" i="18"/>
  <c r="P108" i="18"/>
  <c r="P109" i="18" s="1"/>
  <c r="H65" i="17"/>
  <c r="H51" i="17"/>
  <c r="H45" i="17" s="1"/>
  <c r="U65" i="18"/>
  <c r="U67" i="18" s="1"/>
  <c r="U51" i="18"/>
  <c r="U45" i="18" s="1"/>
  <c r="D24" i="18"/>
  <c r="C101" i="18"/>
  <c r="P65" i="17"/>
  <c r="P67" i="17" s="1"/>
  <c r="P51" i="17"/>
  <c r="P45" i="17" s="1"/>
  <c r="J65" i="17"/>
  <c r="J51" i="17"/>
  <c r="J45" i="17" s="1"/>
  <c r="D100" i="17"/>
  <c r="E53" i="17"/>
  <c r="D59" i="17" s="1"/>
  <c r="P45" i="13"/>
  <c r="F17" i="18"/>
  <c r="K17" i="18"/>
  <c r="O17" i="18"/>
  <c r="T17" i="18"/>
  <c r="C108" i="18"/>
  <c r="C109" i="18" s="1"/>
  <c r="W40" i="18"/>
  <c r="X40" i="18"/>
  <c r="B46" i="18"/>
  <c r="Q46" i="18"/>
  <c r="R108" i="18"/>
  <c r="R109" i="18" s="1"/>
  <c r="C65" i="18"/>
  <c r="C51" i="18"/>
  <c r="C45" i="18" s="1"/>
  <c r="G108" i="18"/>
  <c r="G109" i="18" s="1"/>
  <c r="F46" i="18"/>
  <c r="W12" i="17"/>
  <c r="X12" i="17"/>
  <c r="B18" i="17"/>
  <c r="W69" i="17"/>
  <c r="X107" i="17"/>
  <c r="B109" i="17"/>
  <c r="B110" i="17" s="1"/>
  <c r="T65" i="18"/>
  <c r="T67" i="18" s="1"/>
  <c r="T51" i="18"/>
  <c r="T45" i="18" s="1"/>
  <c r="M65" i="17"/>
  <c r="M67" i="17" s="1"/>
  <c r="M51" i="17"/>
  <c r="M45" i="17" s="1"/>
  <c r="C65" i="17"/>
  <c r="C51" i="17"/>
  <c r="C45" i="17" s="1"/>
  <c r="F65" i="17"/>
  <c r="F51" i="17"/>
  <c r="F45" i="17" s="1"/>
  <c r="X12" i="18"/>
  <c r="W12" i="18"/>
  <c r="B18" i="18"/>
  <c r="C101" i="17"/>
  <c r="D24" i="17"/>
  <c r="W71" i="18"/>
  <c r="X71" i="18"/>
  <c r="N46" i="18"/>
  <c r="O108" i="18"/>
  <c r="O109" i="18" s="1"/>
  <c r="T108" i="18"/>
  <c r="T109" i="18" s="1"/>
  <c r="S46" i="18"/>
  <c r="L65" i="17"/>
  <c r="L67" i="17" s="1"/>
  <c r="L51" i="17"/>
  <c r="L45" i="17" s="1"/>
  <c r="M65" i="18"/>
  <c r="M67" i="18" s="1"/>
  <c r="M51" i="18"/>
  <c r="M45" i="18" s="1"/>
  <c r="D65" i="17"/>
  <c r="D51" i="17"/>
  <c r="D45" i="17" s="1"/>
  <c r="N46" i="17"/>
  <c r="O108" i="17"/>
  <c r="O109" i="17" s="1"/>
  <c r="G46" i="17"/>
  <c r="H108" i="17"/>
  <c r="H109" i="17" s="1"/>
  <c r="V65" i="18"/>
  <c r="V67" i="18" s="1"/>
  <c r="V51" i="18"/>
  <c r="V45" i="18" s="1"/>
  <c r="Q46" i="17"/>
  <c r="R108" i="17"/>
  <c r="R109" i="17" s="1"/>
  <c r="U46" i="18"/>
  <c r="V108" i="18"/>
  <c r="V109" i="18" s="1"/>
  <c r="P46" i="17"/>
  <c r="Q108" i="17"/>
  <c r="Q109" i="17" s="1"/>
  <c r="N17" i="17"/>
  <c r="J17" i="17"/>
  <c r="I17" i="17"/>
  <c r="B86" i="17"/>
  <c r="U17" i="17"/>
  <c r="O17" i="17"/>
  <c r="R17" i="18"/>
  <c r="I55" i="18"/>
  <c r="H61" i="18" s="1"/>
  <c r="J78" i="18"/>
  <c r="J76" i="18"/>
  <c r="K74" i="18"/>
  <c r="L2" i="18"/>
  <c r="G61" i="18"/>
  <c r="K78" i="17"/>
  <c r="K76" i="17"/>
  <c r="I55" i="17"/>
  <c r="H61" i="17" s="1"/>
  <c r="L74" i="17"/>
  <c r="M2" i="17"/>
  <c r="G61" i="17"/>
  <c r="T45" i="13"/>
  <c r="L45" i="13"/>
  <c r="W64" i="13"/>
  <c r="T46" i="13"/>
  <c r="U108" i="13"/>
  <c r="U109" i="13" s="1"/>
  <c r="M46" i="13"/>
  <c r="N108" i="13"/>
  <c r="N109" i="13" s="1"/>
  <c r="J65" i="13"/>
  <c r="J77" i="13" s="1"/>
  <c r="J51" i="13"/>
  <c r="J45" i="13" s="1"/>
  <c r="X66" i="13"/>
  <c r="W66" i="13"/>
  <c r="D69" i="12"/>
  <c r="D76" i="12" s="1"/>
  <c r="D70" i="13"/>
  <c r="D72" i="13" s="1"/>
  <c r="D79" i="13" s="1"/>
  <c r="B69" i="12"/>
  <c r="B71" i="12" s="1"/>
  <c r="B78" i="12" s="1"/>
  <c r="B70" i="13"/>
  <c r="C69" i="12"/>
  <c r="C70" i="13"/>
  <c r="G46" i="13"/>
  <c r="H108" i="13"/>
  <c r="H109" i="13" s="1"/>
  <c r="S46" i="13"/>
  <c r="T108" i="13"/>
  <c r="T109" i="13" s="1"/>
  <c r="F108" i="13"/>
  <c r="F109" i="13" s="1"/>
  <c r="E46" i="13"/>
  <c r="H65" i="13"/>
  <c r="H22" i="13"/>
  <c r="H17" i="13" s="1"/>
  <c r="O65" i="13"/>
  <c r="O51" i="13"/>
  <c r="O45" i="13" s="1"/>
  <c r="I65" i="13"/>
  <c r="I51" i="13"/>
  <c r="I45" i="13" s="1"/>
  <c r="X42" i="13"/>
  <c r="W42" i="13"/>
  <c r="B44" i="13"/>
  <c r="Q65" i="13"/>
  <c r="Q51" i="13"/>
  <c r="Q45" i="13" s="1"/>
  <c r="U65" i="13"/>
  <c r="U51" i="13"/>
  <c r="U45" i="13" s="1"/>
  <c r="R65" i="13"/>
  <c r="R51" i="13"/>
  <c r="R45" i="13" s="1"/>
  <c r="F46" i="13"/>
  <c r="G108" i="13"/>
  <c r="G109" i="13" s="1"/>
  <c r="P46" i="13"/>
  <c r="Q108" i="13"/>
  <c r="Q109" i="13" s="1"/>
  <c r="X14" i="13"/>
  <c r="W14" i="13"/>
  <c r="B16" i="13"/>
  <c r="B25" i="13"/>
  <c r="X20" i="13"/>
  <c r="W20" i="13"/>
  <c r="B22" i="13"/>
  <c r="W69" i="13"/>
  <c r="C17" i="13"/>
  <c r="X64" i="13"/>
  <c r="E17" i="13"/>
  <c r="O46" i="13"/>
  <c r="P108" i="13"/>
  <c r="P109" i="13" s="1"/>
  <c r="Q46" i="13"/>
  <c r="R108" i="13"/>
  <c r="R109" i="13" s="1"/>
  <c r="K65" i="13"/>
  <c r="K51" i="13"/>
  <c r="K45" i="13" s="1"/>
  <c r="H46" i="13"/>
  <c r="I108" i="13"/>
  <c r="I109" i="13" s="1"/>
  <c r="I46" i="13"/>
  <c r="J108" i="13"/>
  <c r="J109" i="13" s="1"/>
  <c r="B65" i="13"/>
  <c r="W49" i="13"/>
  <c r="B54" i="13"/>
  <c r="X49" i="13"/>
  <c r="B51" i="13"/>
  <c r="D24" i="13"/>
  <c r="C101" i="13"/>
  <c r="E83" i="13"/>
  <c r="D88" i="13" s="1"/>
  <c r="V65" i="13"/>
  <c r="V51" i="13"/>
  <c r="V45" i="13" s="1"/>
  <c r="N65" i="13"/>
  <c r="N51" i="13"/>
  <c r="N45" i="13" s="1"/>
  <c r="U46" i="13"/>
  <c r="V108" i="13"/>
  <c r="V109" i="13" s="1"/>
  <c r="G65" i="13"/>
  <c r="G51" i="13"/>
  <c r="G45" i="13" s="1"/>
  <c r="F65" i="13"/>
  <c r="F51" i="13"/>
  <c r="F45" i="13" s="1"/>
  <c r="B18" i="13"/>
  <c r="X12" i="13"/>
  <c r="W12" i="13"/>
  <c r="L108" i="13"/>
  <c r="L109" i="13" s="1"/>
  <c r="K46" i="13"/>
  <c r="D46" i="13"/>
  <c r="E108" i="13"/>
  <c r="E109" i="13" s="1"/>
  <c r="C46" i="13"/>
  <c r="D108" i="13"/>
  <c r="D109" i="13" s="1"/>
  <c r="B53" i="12"/>
  <c r="B55" i="12" s="1"/>
  <c r="X70" i="12"/>
  <c r="X69" i="13"/>
  <c r="R17" i="13"/>
  <c r="M108" i="13"/>
  <c r="M109" i="13" s="1"/>
  <c r="L46" i="13"/>
  <c r="C81" i="13"/>
  <c r="B86" i="13" s="1"/>
  <c r="B46" i="13"/>
  <c r="C108" i="13"/>
  <c r="C109" i="13" s="1"/>
  <c r="W40" i="13"/>
  <c r="X40" i="13"/>
  <c r="R46" i="13"/>
  <c r="S108" i="13"/>
  <c r="S109" i="13" s="1"/>
  <c r="F55" i="13"/>
  <c r="E61" i="13" s="1"/>
  <c r="S65" i="13"/>
  <c r="S51" i="13"/>
  <c r="S45" i="13" s="1"/>
  <c r="E65" i="13"/>
  <c r="E51" i="13"/>
  <c r="E45" i="13" s="1"/>
  <c r="N46" i="13"/>
  <c r="O108" i="13"/>
  <c r="O109" i="13" s="1"/>
  <c r="W71" i="13"/>
  <c r="X71" i="13"/>
  <c r="K108" i="13"/>
  <c r="K109" i="13" s="1"/>
  <c r="J46" i="13"/>
  <c r="C59" i="13"/>
  <c r="E53" i="13"/>
  <c r="D100" i="13"/>
  <c r="P65" i="13"/>
  <c r="P22" i="13"/>
  <c r="P17" i="13" s="1"/>
  <c r="D65" i="13"/>
  <c r="D22" i="13"/>
  <c r="D17" i="13" s="1"/>
  <c r="T65" i="13"/>
  <c r="T22" i="13"/>
  <c r="T17" i="13" s="1"/>
  <c r="L65" i="13"/>
  <c r="L22" i="13"/>
  <c r="L17" i="13" s="1"/>
  <c r="C65" i="13"/>
  <c r="C51" i="13"/>
  <c r="C45" i="13" s="1"/>
  <c r="M65" i="13"/>
  <c r="M51" i="13"/>
  <c r="M45" i="13" s="1"/>
  <c r="B64" i="12"/>
  <c r="B66" i="12" s="1"/>
  <c r="O17" i="13"/>
  <c r="K74" i="13"/>
  <c r="L2" i="13"/>
  <c r="V51" i="2"/>
  <c r="R51" i="2"/>
  <c r="N51" i="2"/>
  <c r="F51" i="2"/>
  <c r="B51" i="2"/>
  <c r="W51" i="2"/>
  <c r="S51" i="2"/>
  <c r="O51" i="2"/>
  <c r="G51" i="2"/>
  <c r="C51" i="2"/>
  <c r="U51" i="2"/>
  <c r="M51" i="2"/>
  <c r="E51" i="2"/>
  <c r="T51" i="2"/>
  <c r="P51" i="2"/>
  <c r="L51" i="2"/>
  <c r="H51" i="2"/>
  <c r="D51" i="2"/>
  <c r="Q51" i="2"/>
  <c r="I51" i="2"/>
  <c r="C53" i="2"/>
  <c r="B23" i="5"/>
  <c r="D44" i="12"/>
  <c r="W11" i="12"/>
  <c r="O45" i="12"/>
  <c r="O106" i="12"/>
  <c r="O108" i="12" s="1"/>
  <c r="F45" i="12"/>
  <c r="F106" i="12"/>
  <c r="F108" i="12" s="1"/>
  <c r="E45" i="12"/>
  <c r="E106" i="12"/>
  <c r="E108" i="12" s="1"/>
  <c r="M45" i="12"/>
  <c r="M106" i="12"/>
  <c r="M108" i="12" s="1"/>
  <c r="I45" i="12"/>
  <c r="I106" i="12"/>
  <c r="I108" i="12" s="1"/>
  <c r="Q45" i="12"/>
  <c r="Q106" i="12"/>
  <c r="Q108" i="12" s="1"/>
  <c r="U45" i="12"/>
  <c r="U106" i="12"/>
  <c r="U108" i="12" s="1"/>
  <c r="B108" i="12"/>
  <c r="D45" i="12"/>
  <c r="D106" i="12"/>
  <c r="D108" i="12" s="1"/>
  <c r="P45" i="12"/>
  <c r="P106" i="12"/>
  <c r="P108" i="12" s="1"/>
  <c r="L45" i="12"/>
  <c r="L106" i="12"/>
  <c r="L108" i="12" s="1"/>
  <c r="T45" i="12"/>
  <c r="T106" i="12"/>
  <c r="T108" i="12" s="1"/>
  <c r="K45" i="12"/>
  <c r="K106" i="12"/>
  <c r="K108" i="12" s="1"/>
  <c r="R45" i="12"/>
  <c r="R106" i="12"/>
  <c r="R108" i="12" s="1"/>
  <c r="S45" i="12"/>
  <c r="S106" i="12"/>
  <c r="S108" i="12" s="1"/>
  <c r="W39" i="12"/>
  <c r="C107" i="12"/>
  <c r="G45" i="12"/>
  <c r="G106" i="12"/>
  <c r="G108" i="12" s="1"/>
  <c r="J45" i="12"/>
  <c r="J106" i="12"/>
  <c r="J108" i="12" s="1"/>
  <c r="C45" i="12"/>
  <c r="C106" i="12"/>
  <c r="V45" i="12"/>
  <c r="V106" i="12"/>
  <c r="V108" i="12" s="1"/>
  <c r="N45" i="12"/>
  <c r="N106" i="12"/>
  <c r="N108" i="12" s="1"/>
  <c r="H45" i="12"/>
  <c r="H106" i="12"/>
  <c r="H108" i="12" s="1"/>
  <c r="X39" i="12"/>
  <c r="C11" i="5"/>
  <c r="B12" i="5" s="1"/>
  <c r="C27" i="5"/>
  <c r="X48" i="12"/>
  <c r="J44" i="12"/>
  <c r="V16" i="12"/>
  <c r="R16" i="12"/>
  <c r="S16" i="12"/>
  <c r="U16" i="12"/>
  <c r="W48" i="12"/>
  <c r="L16" i="12"/>
  <c r="C16" i="12"/>
  <c r="I16" i="12"/>
  <c r="J16" i="12"/>
  <c r="K16" i="12"/>
  <c r="P16" i="12"/>
  <c r="H16" i="12"/>
  <c r="N16" i="12"/>
  <c r="F64" i="12"/>
  <c r="F66" i="12" s="1"/>
  <c r="F50" i="12"/>
  <c r="F44" i="12" s="1"/>
  <c r="V64" i="12"/>
  <c r="V66" i="12" s="1"/>
  <c r="V50" i="12"/>
  <c r="V44" i="12" s="1"/>
  <c r="Q16" i="12"/>
  <c r="T64" i="12"/>
  <c r="T66" i="12" s="1"/>
  <c r="T50" i="12"/>
  <c r="T44" i="12" s="1"/>
  <c r="Q64" i="12"/>
  <c r="Q66" i="12" s="1"/>
  <c r="Q50" i="12"/>
  <c r="Q44" i="12" s="1"/>
  <c r="R64" i="12"/>
  <c r="R66" i="12" s="1"/>
  <c r="R50" i="12"/>
  <c r="R44" i="12" s="1"/>
  <c r="O16" i="12"/>
  <c r="U64" i="12"/>
  <c r="U66" i="12" s="1"/>
  <c r="U50" i="12"/>
  <c r="U44" i="12" s="1"/>
  <c r="O64" i="12"/>
  <c r="O66" i="12" s="1"/>
  <c r="O50" i="12"/>
  <c r="O44" i="12" s="1"/>
  <c r="C64" i="12"/>
  <c r="C66" i="12" s="1"/>
  <c r="C50" i="12"/>
  <c r="C44" i="12" s="1"/>
  <c r="S64" i="12"/>
  <c r="S66" i="12" s="1"/>
  <c r="S50" i="12"/>
  <c r="S44" i="12" s="1"/>
  <c r="I64" i="12"/>
  <c r="I66" i="12" s="1"/>
  <c r="I50" i="12"/>
  <c r="I44" i="12" s="1"/>
  <c r="X13" i="12"/>
  <c r="W13" i="12"/>
  <c r="B15" i="12"/>
  <c r="T16" i="12"/>
  <c r="L64" i="12"/>
  <c r="L66" i="12" s="1"/>
  <c r="L50" i="12"/>
  <c r="L44" i="12" s="1"/>
  <c r="E50" i="12"/>
  <c r="E44" i="12" s="1"/>
  <c r="E64" i="12"/>
  <c r="E66" i="12" s="1"/>
  <c r="N64" i="12"/>
  <c r="N66" i="12" s="1"/>
  <c r="N50" i="12"/>
  <c r="N44" i="12" s="1"/>
  <c r="B43" i="12"/>
  <c r="B44" i="12" s="1"/>
  <c r="X41" i="12"/>
  <c r="W41" i="12"/>
  <c r="K64" i="12"/>
  <c r="K66" i="12" s="1"/>
  <c r="K50" i="12"/>
  <c r="K44" i="12" s="1"/>
  <c r="B17" i="12"/>
  <c r="X6" i="12"/>
  <c r="W6" i="12"/>
  <c r="G50" i="12"/>
  <c r="G44" i="12" s="1"/>
  <c r="G64" i="12"/>
  <c r="G66" i="12" s="1"/>
  <c r="B45" i="12"/>
  <c r="X34" i="12"/>
  <c r="W34" i="12"/>
  <c r="P64" i="12"/>
  <c r="P66" i="12" s="1"/>
  <c r="P50" i="12"/>
  <c r="P44" i="12" s="1"/>
  <c r="M64" i="12"/>
  <c r="M66" i="12" s="1"/>
  <c r="M50" i="12"/>
  <c r="M44" i="12" s="1"/>
  <c r="J64" i="12"/>
  <c r="J66" i="12" s="1"/>
  <c r="M16" i="12"/>
  <c r="G16" i="12"/>
  <c r="H50" i="12"/>
  <c r="H44" i="12" s="1"/>
  <c r="H64" i="12"/>
  <c r="H66" i="12" s="1"/>
  <c r="D16" i="12"/>
  <c r="F16" i="12"/>
  <c r="D64" i="12"/>
  <c r="D66" i="12" s="1"/>
  <c r="X65" i="12"/>
  <c r="W65" i="12"/>
  <c r="W39" i="3"/>
  <c r="D22" i="5"/>
  <c r="C58" i="12"/>
  <c r="D99" i="12"/>
  <c r="D23" i="12"/>
  <c r="C100" i="12"/>
  <c r="F82" i="12"/>
  <c r="D87" i="12"/>
  <c r="W75" i="12"/>
  <c r="C80" i="12"/>
  <c r="D80" i="12" s="1"/>
  <c r="E35" i="2"/>
  <c r="D36" i="2" s="1"/>
  <c r="E52" i="12"/>
  <c r="E99" i="12" s="1"/>
  <c r="G54" i="12"/>
  <c r="F60" i="12" s="1"/>
  <c r="E60" i="12"/>
  <c r="W68" i="12"/>
  <c r="X63" i="12"/>
  <c r="W63" i="12"/>
  <c r="B56" i="12"/>
  <c r="B24" i="12"/>
  <c r="X19" i="12"/>
  <c r="W19" i="12"/>
  <c r="B21" i="12"/>
  <c r="X68" i="12"/>
  <c r="D27" i="5"/>
  <c r="B27" i="5"/>
  <c r="B28" i="5" s="1"/>
  <c r="E19" i="5"/>
  <c r="E8" i="5"/>
  <c r="E20" i="5"/>
  <c r="F20" i="5" s="1"/>
  <c r="E9" i="5"/>
  <c r="E10" i="5"/>
  <c r="E26" i="5"/>
  <c r="D40" i="3"/>
  <c r="C41" i="3" s="1"/>
  <c r="E16" i="3"/>
  <c r="D17" i="3" s="1"/>
  <c r="C17" i="3"/>
  <c r="B41" i="3"/>
  <c r="E35" i="3"/>
  <c r="F14" i="2"/>
  <c r="F21" i="5"/>
  <c r="E36" i="24" l="1"/>
  <c r="G35" i="24"/>
  <c r="G83" i="17"/>
  <c r="F88" i="17" s="1"/>
  <c r="D17" i="22"/>
  <c r="E17" i="22" s="1"/>
  <c r="F17" i="22" s="1"/>
  <c r="G17" i="22" s="1"/>
  <c r="H17" i="22" s="1"/>
  <c r="I17" i="22" s="1"/>
  <c r="J17" i="22" s="1"/>
  <c r="K17" i="22" s="1"/>
  <c r="L17" i="22" s="1"/>
  <c r="M17" i="22" s="1"/>
  <c r="N17" i="22" s="1"/>
  <c r="O17" i="22" s="1"/>
  <c r="P17" i="22" s="1"/>
  <c r="Q17" i="22" s="1"/>
  <c r="R17" i="22" s="1"/>
  <c r="S17" i="22" s="1"/>
  <c r="T17" i="22" s="1"/>
  <c r="U17" i="22" s="1"/>
  <c r="V17" i="22" s="1"/>
  <c r="W73" i="22"/>
  <c r="X73" i="22"/>
  <c r="G83" i="18"/>
  <c r="F88" i="18" s="1"/>
  <c r="X58" i="22"/>
  <c r="X54" i="22"/>
  <c r="H83" i="21"/>
  <c r="G88" i="21" s="1"/>
  <c r="X4" i="22"/>
  <c r="C4" i="23" s="1"/>
  <c r="J4" i="23" s="1"/>
  <c r="L4" i="23" s="1"/>
  <c r="W54" i="22"/>
  <c r="Y4" i="22"/>
  <c r="Y8" i="22"/>
  <c r="S69" i="22"/>
  <c r="W8" i="22"/>
  <c r="W58" i="22"/>
  <c r="X8" i="22"/>
  <c r="C5" i="23" s="1"/>
  <c r="J5" i="23" s="1"/>
  <c r="L5" i="23" s="1"/>
  <c r="W4" i="22"/>
  <c r="W15" i="22"/>
  <c r="N20" i="22"/>
  <c r="O20" i="22" s="1"/>
  <c r="P20" i="22" s="1"/>
  <c r="Q20" i="22" s="1"/>
  <c r="R20" i="22" s="1"/>
  <c r="S20" i="22" s="1"/>
  <c r="T20" i="22" s="1"/>
  <c r="U20" i="22" s="1"/>
  <c r="V20" i="22" s="1"/>
  <c r="K51" i="24"/>
  <c r="C53" i="24"/>
  <c r="Q51" i="24"/>
  <c r="H51" i="24"/>
  <c r="R51" i="24"/>
  <c r="O51" i="24"/>
  <c r="P51" i="24"/>
  <c r="L51" i="24"/>
  <c r="M51" i="24"/>
  <c r="B51" i="24"/>
  <c r="T51" i="24"/>
  <c r="U51" i="24"/>
  <c r="G51" i="24"/>
  <c r="V51" i="24"/>
  <c r="S51" i="24"/>
  <c r="D51" i="24"/>
  <c r="E51" i="24"/>
  <c r="J51" i="24"/>
  <c r="F51" i="24"/>
  <c r="C51" i="24"/>
  <c r="I51" i="24"/>
  <c r="N51" i="24"/>
  <c r="H16" i="24"/>
  <c r="H40" i="24"/>
  <c r="G41" i="24" s="1"/>
  <c r="X15" i="22"/>
  <c r="Y15" i="22"/>
  <c r="C53" i="12"/>
  <c r="B59" i="12" s="1"/>
  <c r="B76" i="12"/>
  <c r="B81" i="12" s="1"/>
  <c r="K77" i="21"/>
  <c r="K77" i="17"/>
  <c r="J77" i="18"/>
  <c r="X12" i="22"/>
  <c r="W12" i="22"/>
  <c r="Y12" i="22"/>
  <c r="J77" i="20"/>
  <c r="D71" i="12"/>
  <c r="D78" i="12" s="1"/>
  <c r="J77" i="19"/>
  <c r="D77" i="20"/>
  <c r="D67" i="20"/>
  <c r="D73" i="20" s="1"/>
  <c r="D81" i="20"/>
  <c r="I67" i="19"/>
  <c r="I77" i="19"/>
  <c r="E24" i="19"/>
  <c r="D101" i="19"/>
  <c r="W46" i="20"/>
  <c r="X46" i="20"/>
  <c r="C72" i="21"/>
  <c r="C79" i="21" s="1"/>
  <c r="I77" i="21"/>
  <c r="I67" i="21"/>
  <c r="W51" i="21"/>
  <c r="X51" i="21"/>
  <c r="B57" i="21"/>
  <c r="B45" i="21"/>
  <c r="C54" i="21"/>
  <c r="D54" i="21" s="1"/>
  <c r="B56" i="21"/>
  <c r="C56" i="21" s="1"/>
  <c r="X46" i="19"/>
  <c r="W46" i="19"/>
  <c r="H67" i="20"/>
  <c r="H77" i="20"/>
  <c r="W65" i="19"/>
  <c r="B77" i="19"/>
  <c r="B82" i="19" s="1"/>
  <c r="X65" i="19"/>
  <c r="R1" i="19" s="1"/>
  <c r="B72" i="19"/>
  <c r="B67" i="19"/>
  <c r="C25" i="21"/>
  <c r="D25" i="21" s="1"/>
  <c r="E25" i="21" s="1"/>
  <c r="F25" i="21" s="1"/>
  <c r="G25" i="21" s="1"/>
  <c r="H25" i="21" s="1"/>
  <c r="I25" i="21" s="1"/>
  <c r="J25" i="21" s="1"/>
  <c r="K25" i="21" s="1"/>
  <c r="L25" i="21" s="1"/>
  <c r="M25" i="21" s="1"/>
  <c r="N25" i="21" s="1"/>
  <c r="O25" i="21" s="1"/>
  <c r="P25" i="21" s="1"/>
  <c r="Q25" i="21" s="1"/>
  <c r="R25" i="21" s="1"/>
  <c r="S25" i="21" s="1"/>
  <c r="T25" i="21" s="1"/>
  <c r="U25" i="21" s="1"/>
  <c r="V25" i="21" s="1"/>
  <c r="B27" i="21"/>
  <c r="C27" i="21" s="1"/>
  <c r="D27" i="21" s="1"/>
  <c r="E27" i="21" s="1"/>
  <c r="F27" i="21" s="1"/>
  <c r="G27" i="21" s="1"/>
  <c r="H27" i="21" s="1"/>
  <c r="I27" i="21" s="1"/>
  <c r="J27" i="21" s="1"/>
  <c r="K27" i="21" s="1"/>
  <c r="L27" i="21" s="1"/>
  <c r="M27" i="21" s="1"/>
  <c r="N27" i="21" s="1"/>
  <c r="O27" i="21" s="1"/>
  <c r="P27" i="21" s="1"/>
  <c r="Q27" i="21" s="1"/>
  <c r="R27" i="21" s="1"/>
  <c r="S27" i="21" s="1"/>
  <c r="T27" i="21" s="1"/>
  <c r="U27" i="21" s="1"/>
  <c r="V27" i="21" s="1"/>
  <c r="W46" i="21"/>
  <c r="X46" i="21"/>
  <c r="G77" i="20"/>
  <c r="G67" i="20"/>
  <c r="C77" i="19"/>
  <c r="C67" i="19"/>
  <c r="E77" i="21"/>
  <c r="E67" i="21"/>
  <c r="W44" i="20"/>
  <c r="X44" i="20"/>
  <c r="B17" i="20"/>
  <c r="X22" i="20"/>
  <c r="W22" i="20"/>
  <c r="Y20" i="20" s="1"/>
  <c r="X109" i="19"/>
  <c r="B110" i="19"/>
  <c r="E100" i="21"/>
  <c r="F53" i="21"/>
  <c r="E77" i="19"/>
  <c r="E67" i="19"/>
  <c r="E24" i="21"/>
  <c r="D101" i="21"/>
  <c r="C72" i="19"/>
  <c r="C79" i="19" s="1"/>
  <c r="G77" i="19"/>
  <c r="G67" i="19"/>
  <c r="W22" i="19"/>
  <c r="Y20" i="19" s="1"/>
  <c r="B17" i="19"/>
  <c r="X22" i="19"/>
  <c r="W51" i="19"/>
  <c r="X51" i="19"/>
  <c r="B57" i="19"/>
  <c r="B45" i="19"/>
  <c r="C54" i="20"/>
  <c r="B60" i="20" s="1"/>
  <c r="B56" i="20"/>
  <c r="C56" i="20" s="1"/>
  <c r="F77" i="19"/>
  <c r="F67" i="19"/>
  <c r="B110" i="20"/>
  <c r="X109" i="20"/>
  <c r="H67" i="19"/>
  <c r="H77" i="19"/>
  <c r="B86" i="20"/>
  <c r="X109" i="21"/>
  <c r="E70" i="21"/>
  <c r="E72" i="21" s="1"/>
  <c r="E79" i="21" s="1"/>
  <c r="E70" i="20"/>
  <c r="E72" i="20" s="1"/>
  <c r="E79" i="20" s="1"/>
  <c r="E70" i="19"/>
  <c r="E72" i="19" s="1"/>
  <c r="E79" i="19" s="1"/>
  <c r="J77" i="21"/>
  <c r="J67" i="21"/>
  <c r="C77" i="20"/>
  <c r="C67" i="20"/>
  <c r="C73" i="20" s="1"/>
  <c r="F53" i="20"/>
  <c r="E100" i="20"/>
  <c r="X16" i="21"/>
  <c r="W16" i="21"/>
  <c r="C25" i="20"/>
  <c r="D25" i="20" s="1"/>
  <c r="E25" i="20" s="1"/>
  <c r="F25" i="20" s="1"/>
  <c r="G25" i="20" s="1"/>
  <c r="H25" i="20" s="1"/>
  <c r="I25" i="20" s="1"/>
  <c r="J25" i="20" s="1"/>
  <c r="K25" i="20" s="1"/>
  <c r="L25" i="20" s="1"/>
  <c r="M25" i="20" s="1"/>
  <c r="N25" i="20" s="1"/>
  <c r="O25" i="20" s="1"/>
  <c r="P25" i="20" s="1"/>
  <c r="Q25" i="20" s="1"/>
  <c r="R25" i="20" s="1"/>
  <c r="S25" i="20" s="1"/>
  <c r="T25" i="20" s="1"/>
  <c r="U25" i="20" s="1"/>
  <c r="V25" i="20" s="1"/>
  <c r="B27" i="20"/>
  <c r="C27" i="20" s="1"/>
  <c r="D27" i="20" s="1"/>
  <c r="E27" i="20" s="1"/>
  <c r="F27" i="20" s="1"/>
  <c r="G27" i="20" s="1"/>
  <c r="H27" i="20" s="1"/>
  <c r="I27" i="20" s="1"/>
  <c r="J27" i="20" s="1"/>
  <c r="K27" i="20" s="1"/>
  <c r="L27" i="20" s="1"/>
  <c r="M27" i="20" s="1"/>
  <c r="N27" i="20" s="1"/>
  <c r="O27" i="20" s="1"/>
  <c r="P27" i="20" s="1"/>
  <c r="Q27" i="20" s="1"/>
  <c r="R27" i="20" s="1"/>
  <c r="S27" i="20" s="1"/>
  <c r="T27" i="20" s="1"/>
  <c r="U27" i="20" s="1"/>
  <c r="V27" i="20" s="1"/>
  <c r="E77" i="20"/>
  <c r="E67" i="20"/>
  <c r="W16" i="20"/>
  <c r="X16" i="20"/>
  <c r="F77" i="21"/>
  <c r="F67" i="21"/>
  <c r="F53" i="19"/>
  <c r="E59" i="19" s="1"/>
  <c r="E100" i="19"/>
  <c r="X18" i="21"/>
  <c r="W18" i="21"/>
  <c r="C77" i="21"/>
  <c r="C67" i="21"/>
  <c r="X44" i="19"/>
  <c r="W44" i="19"/>
  <c r="G77" i="21"/>
  <c r="G67" i="21"/>
  <c r="F77" i="20"/>
  <c r="F67" i="20"/>
  <c r="E81" i="19"/>
  <c r="D86" i="19" s="1"/>
  <c r="H77" i="21"/>
  <c r="H67" i="21"/>
  <c r="X65" i="21"/>
  <c r="R1" i="21" s="1"/>
  <c r="W65" i="21"/>
  <c r="B77" i="21"/>
  <c r="B82" i="21" s="1"/>
  <c r="B72" i="21"/>
  <c r="B67" i="21"/>
  <c r="C54" i="19"/>
  <c r="B60" i="19" s="1"/>
  <c r="B56" i="19"/>
  <c r="W65" i="20"/>
  <c r="B77" i="20"/>
  <c r="B82" i="20" s="1"/>
  <c r="X65" i="20"/>
  <c r="R1" i="20" s="1"/>
  <c r="B72" i="20"/>
  <c r="B67" i="20"/>
  <c r="W22" i="21"/>
  <c r="Y20" i="21" s="1"/>
  <c r="B17" i="21"/>
  <c r="X22" i="21"/>
  <c r="C86" i="21"/>
  <c r="E81" i="21"/>
  <c r="F81" i="21" s="1"/>
  <c r="D11" i="5"/>
  <c r="E11" i="5" s="1"/>
  <c r="D12" i="5" s="1"/>
  <c r="B86" i="18"/>
  <c r="D72" i="21"/>
  <c r="D79" i="21" s="1"/>
  <c r="D77" i="21"/>
  <c r="D67" i="21"/>
  <c r="W44" i="21"/>
  <c r="X44" i="21"/>
  <c r="D77" i="19"/>
  <c r="D67" i="19"/>
  <c r="D73" i="19" s="1"/>
  <c r="X18" i="19"/>
  <c r="W18" i="19"/>
  <c r="I67" i="20"/>
  <c r="I77" i="20"/>
  <c r="C110" i="21"/>
  <c r="D110" i="21" s="1"/>
  <c r="E110" i="21" s="1"/>
  <c r="F110" i="21" s="1"/>
  <c r="G110" i="21" s="1"/>
  <c r="H110" i="21" s="1"/>
  <c r="I110" i="21" s="1"/>
  <c r="J110" i="21" s="1"/>
  <c r="K110" i="21" s="1"/>
  <c r="L110" i="21" s="1"/>
  <c r="M110" i="21" s="1"/>
  <c r="N110" i="21" s="1"/>
  <c r="O110" i="21" s="1"/>
  <c r="P110" i="21" s="1"/>
  <c r="Q110" i="21" s="1"/>
  <c r="R110" i="21" s="1"/>
  <c r="S110" i="21" s="1"/>
  <c r="T110" i="21" s="1"/>
  <c r="U110" i="21" s="1"/>
  <c r="V110" i="21" s="1"/>
  <c r="W110" i="21" s="1"/>
  <c r="W111" i="21" s="1"/>
  <c r="X16" i="19"/>
  <c r="W16" i="19"/>
  <c r="E24" i="20"/>
  <c r="D101" i="20"/>
  <c r="X18" i="20"/>
  <c r="W18" i="20"/>
  <c r="C25" i="19"/>
  <c r="D25" i="19" s="1"/>
  <c r="E25" i="19" s="1"/>
  <c r="F25" i="19" s="1"/>
  <c r="G25" i="19" s="1"/>
  <c r="H25" i="19" s="1"/>
  <c r="I25" i="19" s="1"/>
  <c r="J25" i="19" s="1"/>
  <c r="K25" i="19" s="1"/>
  <c r="L25" i="19" s="1"/>
  <c r="M25" i="19" s="1"/>
  <c r="N25" i="19" s="1"/>
  <c r="O25" i="19" s="1"/>
  <c r="P25" i="19" s="1"/>
  <c r="Q25" i="19" s="1"/>
  <c r="R25" i="19" s="1"/>
  <c r="S25" i="19" s="1"/>
  <c r="T25" i="19" s="1"/>
  <c r="U25" i="19" s="1"/>
  <c r="V25" i="19" s="1"/>
  <c r="B27" i="19"/>
  <c r="X51" i="20"/>
  <c r="B45" i="20"/>
  <c r="W51" i="20"/>
  <c r="B57" i="20"/>
  <c r="X109" i="18"/>
  <c r="B86" i="21"/>
  <c r="K78" i="20"/>
  <c r="K77" i="20"/>
  <c r="K76" i="20"/>
  <c r="L74" i="20"/>
  <c r="M2" i="20"/>
  <c r="J55" i="20"/>
  <c r="H83" i="20"/>
  <c r="G88" i="20" s="1"/>
  <c r="L77" i="21"/>
  <c r="L78" i="21"/>
  <c r="L76" i="21"/>
  <c r="M74" i="21"/>
  <c r="N2" i="21"/>
  <c r="K55" i="21"/>
  <c r="I61" i="21"/>
  <c r="H83" i="19"/>
  <c r="G88" i="19" s="1"/>
  <c r="J55" i="19"/>
  <c r="I61" i="19" s="1"/>
  <c r="K77" i="19"/>
  <c r="K78" i="19"/>
  <c r="K76" i="19"/>
  <c r="L74" i="19"/>
  <c r="M2" i="19"/>
  <c r="X18" i="18"/>
  <c r="W18" i="18"/>
  <c r="F77" i="17"/>
  <c r="F67" i="17"/>
  <c r="X46" i="18"/>
  <c r="W46" i="18"/>
  <c r="I67" i="18"/>
  <c r="I77" i="18"/>
  <c r="X16" i="17"/>
  <c r="W16" i="17"/>
  <c r="X51" i="18"/>
  <c r="B57" i="18"/>
  <c r="B45" i="18"/>
  <c r="W51" i="18"/>
  <c r="C54" i="18"/>
  <c r="B56" i="18"/>
  <c r="C25" i="17"/>
  <c r="D25" i="17" s="1"/>
  <c r="E25" i="17" s="1"/>
  <c r="F25" i="17" s="1"/>
  <c r="G25" i="17" s="1"/>
  <c r="H25" i="17" s="1"/>
  <c r="I25" i="17" s="1"/>
  <c r="J25" i="17" s="1"/>
  <c r="K25" i="17" s="1"/>
  <c r="L25" i="17" s="1"/>
  <c r="M25" i="17" s="1"/>
  <c r="N25" i="17" s="1"/>
  <c r="O25" i="17" s="1"/>
  <c r="P25" i="17" s="1"/>
  <c r="Q25" i="17" s="1"/>
  <c r="R25" i="17" s="1"/>
  <c r="S25" i="17" s="1"/>
  <c r="T25" i="17" s="1"/>
  <c r="U25" i="17" s="1"/>
  <c r="V25" i="17" s="1"/>
  <c r="B27" i="17"/>
  <c r="C27" i="17" s="1"/>
  <c r="D27" i="17" s="1"/>
  <c r="E27" i="17" s="1"/>
  <c r="F27" i="17" s="1"/>
  <c r="G27" i="17" s="1"/>
  <c r="H27" i="17" s="1"/>
  <c r="I27" i="17" s="1"/>
  <c r="J27" i="17" s="1"/>
  <c r="K27" i="17" s="1"/>
  <c r="L27" i="17" s="1"/>
  <c r="M27" i="17" s="1"/>
  <c r="N27" i="17" s="1"/>
  <c r="O27" i="17" s="1"/>
  <c r="P27" i="17" s="1"/>
  <c r="Q27" i="17" s="1"/>
  <c r="R27" i="17" s="1"/>
  <c r="S27" i="17" s="1"/>
  <c r="T27" i="17" s="1"/>
  <c r="U27" i="17" s="1"/>
  <c r="V27" i="17" s="1"/>
  <c r="G77" i="18"/>
  <c r="G67" i="18"/>
  <c r="W44" i="18"/>
  <c r="X44" i="18"/>
  <c r="X109" i="17"/>
  <c r="K78" i="13"/>
  <c r="K76" i="13"/>
  <c r="D77" i="17"/>
  <c r="D67" i="17"/>
  <c r="D73" i="17" s="1"/>
  <c r="C110" i="17"/>
  <c r="D110" i="17" s="1"/>
  <c r="E110" i="17" s="1"/>
  <c r="F110" i="17" s="1"/>
  <c r="G110" i="17" s="1"/>
  <c r="H110" i="17" s="1"/>
  <c r="I110" i="17" s="1"/>
  <c r="J110" i="17" s="1"/>
  <c r="K110" i="17" s="1"/>
  <c r="L110" i="17" s="1"/>
  <c r="M110" i="17" s="1"/>
  <c r="N110" i="17" s="1"/>
  <c r="O110" i="17" s="1"/>
  <c r="P110" i="17" s="1"/>
  <c r="Q110" i="17" s="1"/>
  <c r="R110" i="17" s="1"/>
  <c r="S110" i="17" s="1"/>
  <c r="T110" i="17" s="1"/>
  <c r="U110" i="17" s="1"/>
  <c r="V110" i="17" s="1"/>
  <c r="W110" i="17" s="1"/>
  <c r="W111" i="17" s="1"/>
  <c r="W18" i="17"/>
  <c r="X18" i="17"/>
  <c r="F77" i="18"/>
  <c r="F67" i="18"/>
  <c r="I77" i="17"/>
  <c r="I67" i="17"/>
  <c r="C25" i="18"/>
  <c r="D25" i="18" s="1"/>
  <c r="E25" i="18" s="1"/>
  <c r="F25" i="18" s="1"/>
  <c r="G25" i="18" s="1"/>
  <c r="H25" i="18" s="1"/>
  <c r="I25" i="18" s="1"/>
  <c r="J25" i="18" s="1"/>
  <c r="K25" i="18" s="1"/>
  <c r="L25" i="18" s="1"/>
  <c r="M25" i="18" s="1"/>
  <c r="N25" i="18" s="1"/>
  <c r="O25" i="18" s="1"/>
  <c r="P25" i="18" s="1"/>
  <c r="Q25" i="18" s="1"/>
  <c r="R25" i="18" s="1"/>
  <c r="S25" i="18" s="1"/>
  <c r="T25" i="18" s="1"/>
  <c r="U25" i="18" s="1"/>
  <c r="V25" i="18" s="1"/>
  <c r="B27" i="18"/>
  <c r="C27" i="18" s="1"/>
  <c r="D27" i="18" s="1"/>
  <c r="E27" i="18" s="1"/>
  <c r="F27" i="18" s="1"/>
  <c r="G27" i="18" s="1"/>
  <c r="H27" i="18" s="1"/>
  <c r="I27" i="18" s="1"/>
  <c r="J27" i="18" s="1"/>
  <c r="K27" i="18" s="1"/>
  <c r="L27" i="18" s="1"/>
  <c r="M27" i="18" s="1"/>
  <c r="N27" i="18" s="1"/>
  <c r="O27" i="18" s="1"/>
  <c r="P27" i="18" s="1"/>
  <c r="Q27" i="18" s="1"/>
  <c r="R27" i="18" s="1"/>
  <c r="S27" i="18" s="1"/>
  <c r="T27" i="18" s="1"/>
  <c r="U27" i="18" s="1"/>
  <c r="V27" i="18" s="1"/>
  <c r="W51" i="17"/>
  <c r="B57" i="17"/>
  <c r="B45" i="17"/>
  <c r="X51" i="17"/>
  <c r="C54" i="17"/>
  <c r="B56" i="17"/>
  <c r="E70" i="18"/>
  <c r="E72" i="18" s="1"/>
  <c r="E79" i="18" s="1"/>
  <c r="E70" i="17"/>
  <c r="E72" i="17" s="1"/>
  <c r="E79" i="17" s="1"/>
  <c r="D101" i="17"/>
  <c r="E24" i="17"/>
  <c r="C77" i="17"/>
  <c r="C67" i="17"/>
  <c r="C73" i="17" s="1"/>
  <c r="F53" i="17"/>
  <c r="E59" i="17" s="1"/>
  <c r="E100" i="17"/>
  <c r="J67" i="17"/>
  <c r="J77" i="17"/>
  <c r="E24" i="18"/>
  <c r="D101" i="18"/>
  <c r="H77" i="17"/>
  <c r="H67" i="17"/>
  <c r="C86" i="18"/>
  <c r="E81" i="18"/>
  <c r="D77" i="18"/>
  <c r="D67" i="18"/>
  <c r="D73" i="18" s="1"/>
  <c r="C110" i="18"/>
  <c r="D110" i="18" s="1"/>
  <c r="E110" i="18" s="1"/>
  <c r="F110" i="18" s="1"/>
  <c r="G110" i="18" s="1"/>
  <c r="H110" i="18" s="1"/>
  <c r="I110" i="18" s="1"/>
  <c r="J110" i="18" s="1"/>
  <c r="K110" i="18" s="1"/>
  <c r="L110" i="18" s="1"/>
  <c r="M110" i="18" s="1"/>
  <c r="N110" i="18" s="1"/>
  <c r="O110" i="18" s="1"/>
  <c r="P110" i="18" s="1"/>
  <c r="Q110" i="18" s="1"/>
  <c r="R110" i="18" s="1"/>
  <c r="S110" i="18" s="1"/>
  <c r="T110" i="18" s="1"/>
  <c r="U110" i="18" s="1"/>
  <c r="V110" i="18" s="1"/>
  <c r="W110" i="18" s="1"/>
  <c r="W111" i="18" s="1"/>
  <c r="E77" i="17"/>
  <c r="E67" i="17"/>
  <c r="W65" i="18"/>
  <c r="B77" i="18"/>
  <c r="B82" i="18" s="1"/>
  <c r="X65" i="18"/>
  <c r="R1" i="18" s="1"/>
  <c r="B72" i="18"/>
  <c r="B67" i="18"/>
  <c r="X22" i="17"/>
  <c r="W22" i="17"/>
  <c r="B17" i="17"/>
  <c r="E77" i="18"/>
  <c r="E67" i="18"/>
  <c r="C77" i="18"/>
  <c r="C67" i="18"/>
  <c r="C73" i="18" s="1"/>
  <c r="X16" i="18"/>
  <c r="W16" i="18"/>
  <c r="H77" i="18"/>
  <c r="H67" i="18"/>
  <c r="X46" i="17"/>
  <c r="W46" i="17"/>
  <c r="X22" i="18"/>
  <c r="B17" i="18"/>
  <c r="W22" i="18"/>
  <c r="Y20" i="18" s="1"/>
  <c r="W44" i="17"/>
  <c r="X44" i="17"/>
  <c r="F53" i="18"/>
  <c r="E100" i="18"/>
  <c r="C86" i="17"/>
  <c r="E81" i="17"/>
  <c r="G77" i="17"/>
  <c r="G67" i="17"/>
  <c r="W65" i="17"/>
  <c r="B77" i="17"/>
  <c r="B82" i="17" s="1"/>
  <c r="X65" i="17"/>
  <c r="B72" i="17"/>
  <c r="B67" i="17"/>
  <c r="K77" i="18"/>
  <c r="K78" i="18"/>
  <c r="K76" i="18"/>
  <c r="L74" i="18"/>
  <c r="M2" i="18"/>
  <c r="J55" i="18"/>
  <c r="J55" i="17"/>
  <c r="L77" i="17"/>
  <c r="L78" i="17"/>
  <c r="L76" i="17"/>
  <c r="M74" i="17"/>
  <c r="N2" i="17"/>
  <c r="J67" i="13"/>
  <c r="S67" i="13"/>
  <c r="V67" i="13"/>
  <c r="T67" i="13"/>
  <c r="P67" i="13"/>
  <c r="I67" i="13"/>
  <c r="I77" i="13"/>
  <c r="H67" i="13"/>
  <c r="H77" i="13"/>
  <c r="C67" i="13"/>
  <c r="C77" i="13"/>
  <c r="E67" i="13"/>
  <c r="E77" i="13"/>
  <c r="N67" i="13"/>
  <c r="R67" i="13"/>
  <c r="M67" i="13"/>
  <c r="L67" i="13"/>
  <c r="D67" i="13"/>
  <c r="D73" i="13" s="1"/>
  <c r="D77" i="13"/>
  <c r="F67" i="13"/>
  <c r="F77" i="13"/>
  <c r="G67" i="13"/>
  <c r="G77" i="13"/>
  <c r="K67" i="13"/>
  <c r="K77" i="13"/>
  <c r="U67" i="13"/>
  <c r="Q67" i="13"/>
  <c r="O67" i="13"/>
  <c r="B77" i="13"/>
  <c r="B82" i="13" s="1"/>
  <c r="B72" i="13"/>
  <c r="E69" i="12"/>
  <c r="E76" i="12" s="1"/>
  <c r="E70" i="13"/>
  <c r="W18" i="13"/>
  <c r="X18" i="13"/>
  <c r="C25" i="13"/>
  <c r="D25" i="13" s="1"/>
  <c r="E25" i="13" s="1"/>
  <c r="F25" i="13" s="1"/>
  <c r="G25" i="13" s="1"/>
  <c r="H25" i="13" s="1"/>
  <c r="I25" i="13" s="1"/>
  <c r="J25" i="13" s="1"/>
  <c r="K25" i="13" s="1"/>
  <c r="L25" i="13" s="1"/>
  <c r="M25" i="13" s="1"/>
  <c r="N25" i="13" s="1"/>
  <c r="O25" i="13" s="1"/>
  <c r="P25" i="13" s="1"/>
  <c r="Q25" i="13" s="1"/>
  <c r="R25" i="13" s="1"/>
  <c r="S25" i="13" s="1"/>
  <c r="T25" i="13" s="1"/>
  <c r="U25" i="13" s="1"/>
  <c r="V25" i="13" s="1"/>
  <c r="B27" i="13"/>
  <c r="C27" i="13" s="1"/>
  <c r="D27" i="13" s="1"/>
  <c r="E27" i="13" s="1"/>
  <c r="F27" i="13" s="1"/>
  <c r="G27" i="13" s="1"/>
  <c r="H27" i="13" s="1"/>
  <c r="I27" i="13" s="1"/>
  <c r="J27" i="13" s="1"/>
  <c r="K27" i="13" s="1"/>
  <c r="L27" i="13" s="1"/>
  <c r="M27" i="13" s="1"/>
  <c r="N27" i="13" s="1"/>
  <c r="O27" i="13" s="1"/>
  <c r="P27" i="13" s="1"/>
  <c r="Q27" i="13" s="1"/>
  <c r="R27" i="13" s="1"/>
  <c r="S27" i="13" s="1"/>
  <c r="T27" i="13" s="1"/>
  <c r="U27" i="13" s="1"/>
  <c r="V27" i="13" s="1"/>
  <c r="X51" i="13"/>
  <c r="W51" i="13"/>
  <c r="B57" i="13"/>
  <c r="X65" i="13"/>
  <c r="W65" i="13"/>
  <c r="B67" i="13"/>
  <c r="B45" i="13"/>
  <c r="W44" i="13"/>
  <c r="X44" i="13"/>
  <c r="C72" i="13"/>
  <c r="C79" i="13" s="1"/>
  <c r="C76" i="12"/>
  <c r="C71" i="12"/>
  <c r="C78" i="12" s="1"/>
  <c r="X109" i="13"/>
  <c r="C110" i="13"/>
  <c r="G55" i="13"/>
  <c r="H55" i="13" s="1"/>
  <c r="D81" i="13"/>
  <c r="D101" i="13"/>
  <c r="E24" i="13"/>
  <c r="W16" i="13"/>
  <c r="X16" i="13"/>
  <c r="D59" i="13"/>
  <c r="F53" i="13"/>
  <c r="E59" i="13" s="1"/>
  <c r="E100" i="13"/>
  <c r="W46" i="13"/>
  <c r="X46" i="13"/>
  <c r="F83" i="13"/>
  <c r="G83" i="13" s="1"/>
  <c r="C54" i="13"/>
  <c r="B56" i="13"/>
  <c r="X22" i="13"/>
  <c r="W22" i="13"/>
  <c r="B17" i="13"/>
  <c r="L74" i="13"/>
  <c r="M2" i="13"/>
  <c r="C23" i="5"/>
  <c r="X106" i="12"/>
  <c r="C108" i="12"/>
  <c r="X108" i="12" s="1"/>
  <c r="B109" i="12"/>
  <c r="C28" i="5"/>
  <c r="B29" i="5" s="1"/>
  <c r="C56" i="12"/>
  <c r="D56" i="12" s="1"/>
  <c r="E56" i="12" s="1"/>
  <c r="F56" i="12" s="1"/>
  <c r="G56" i="12" s="1"/>
  <c r="H56" i="12" s="1"/>
  <c r="I56" i="12" s="1"/>
  <c r="J56" i="12" s="1"/>
  <c r="K56" i="12" s="1"/>
  <c r="L56" i="12" s="1"/>
  <c r="M56" i="12" s="1"/>
  <c r="N56" i="12" s="1"/>
  <c r="O56" i="12" s="1"/>
  <c r="P56" i="12" s="1"/>
  <c r="Q56" i="12" s="1"/>
  <c r="R56" i="12" s="1"/>
  <c r="S56" i="12" s="1"/>
  <c r="T56" i="12" s="1"/>
  <c r="U56" i="12" s="1"/>
  <c r="V56" i="12" s="1"/>
  <c r="X56" i="12" s="1"/>
  <c r="E22" i="5"/>
  <c r="X64" i="12"/>
  <c r="W50" i="12"/>
  <c r="W17" i="12"/>
  <c r="X17" i="12"/>
  <c r="X45" i="12"/>
  <c r="W45" i="12"/>
  <c r="X43" i="12"/>
  <c r="W43" i="12"/>
  <c r="W15" i="12"/>
  <c r="X15" i="12"/>
  <c r="X50" i="12"/>
  <c r="W64" i="12"/>
  <c r="F35" i="2"/>
  <c r="E36" i="2" s="1"/>
  <c r="E23" i="12"/>
  <c r="D100" i="12"/>
  <c r="G82" i="12"/>
  <c r="C85" i="12"/>
  <c r="B85" i="12"/>
  <c r="E87" i="12"/>
  <c r="E80" i="12"/>
  <c r="B83" i="12"/>
  <c r="F52" i="12"/>
  <c r="F99" i="12" s="1"/>
  <c r="D58" i="12"/>
  <c r="H54" i="12"/>
  <c r="X66" i="12"/>
  <c r="W66" i="12"/>
  <c r="B72" i="12"/>
  <c r="X21" i="12"/>
  <c r="W21" i="12"/>
  <c r="Y19" i="12" s="1"/>
  <c r="B16" i="12"/>
  <c r="C55" i="12"/>
  <c r="C24" i="12"/>
  <c r="D24" i="12" s="1"/>
  <c r="E24" i="12" s="1"/>
  <c r="F24" i="12" s="1"/>
  <c r="G24" i="12" s="1"/>
  <c r="H24" i="12" s="1"/>
  <c r="I24" i="12" s="1"/>
  <c r="J24" i="12" s="1"/>
  <c r="K24" i="12" s="1"/>
  <c r="L24" i="12" s="1"/>
  <c r="M24" i="12" s="1"/>
  <c r="N24" i="12" s="1"/>
  <c r="O24" i="12" s="1"/>
  <c r="P24" i="12" s="1"/>
  <c r="Q24" i="12" s="1"/>
  <c r="R24" i="12" s="1"/>
  <c r="S24" i="12" s="1"/>
  <c r="B26" i="12"/>
  <c r="C26" i="12" s="1"/>
  <c r="D26" i="12" s="1"/>
  <c r="E26" i="12" s="1"/>
  <c r="F26" i="12" s="1"/>
  <c r="G26" i="12" s="1"/>
  <c r="H26" i="12" s="1"/>
  <c r="I26" i="12" s="1"/>
  <c r="J26" i="12" s="1"/>
  <c r="K26" i="12" s="1"/>
  <c r="L26" i="12" s="1"/>
  <c r="M26" i="12" s="1"/>
  <c r="N26" i="12" s="1"/>
  <c r="O26" i="12" s="1"/>
  <c r="P26" i="12" s="1"/>
  <c r="Q26" i="12" s="1"/>
  <c r="R26" i="12" s="1"/>
  <c r="S26" i="12" s="1"/>
  <c r="X44" i="12"/>
  <c r="W44" i="12"/>
  <c r="E27" i="5"/>
  <c r="F35" i="3"/>
  <c r="E36" i="3" s="1"/>
  <c r="E40" i="3"/>
  <c r="D41" i="3" s="1"/>
  <c r="F16" i="3"/>
  <c r="E17" i="3" s="1"/>
  <c r="D36" i="3"/>
  <c r="G14" i="2"/>
  <c r="F8" i="5"/>
  <c r="F26" i="5"/>
  <c r="F10" i="5"/>
  <c r="F9" i="5"/>
  <c r="H35" i="24" l="1"/>
  <c r="F36" i="24"/>
  <c r="H83" i="17"/>
  <c r="G88" i="17" s="1"/>
  <c r="H83" i="18"/>
  <c r="G88" i="18" s="1"/>
  <c r="D72" i="12"/>
  <c r="C73" i="21"/>
  <c r="C12" i="5"/>
  <c r="D53" i="12"/>
  <c r="E53" i="12" s="1"/>
  <c r="D59" i="12" s="1"/>
  <c r="I83" i="21"/>
  <c r="C6" i="23"/>
  <c r="J6" i="23" s="1"/>
  <c r="L6" i="23" s="1"/>
  <c r="K24" i="22"/>
  <c r="C16" i="23"/>
  <c r="J16" i="23" s="1"/>
  <c r="L16" i="23" s="1"/>
  <c r="N24" i="22"/>
  <c r="X20" i="22"/>
  <c r="D15" i="23" s="1"/>
  <c r="K15" i="23" s="1"/>
  <c r="M15" i="23" s="1"/>
  <c r="X17" i="22"/>
  <c r="D5" i="23" s="1"/>
  <c r="K5" i="23" s="1"/>
  <c r="M5" i="23" s="1"/>
  <c r="G52" i="24"/>
  <c r="I16" i="24"/>
  <c r="G17" i="24"/>
  <c r="I40" i="24"/>
  <c r="H41" i="24" s="1"/>
  <c r="D86" i="21"/>
  <c r="E73" i="18"/>
  <c r="D73" i="21"/>
  <c r="B60" i="21"/>
  <c r="X17" i="21"/>
  <c r="W17" i="21"/>
  <c r="C82" i="21"/>
  <c r="B87" i="21" s="1"/>
  <c r="W45" i="19"/>
  <c r="X45" i="19"/>
  <c r="F24" i="21"/>
  <c r="E101" i="21"/>
  <c r="B79" i="19"/>
  <c r="B84" i="19" s="1"/>
  <c r="B62" i="21"/>
  <c r="D56" i="21"/>
  <c r="E56" i="21" s="1"/>
  <c r="C57" i="21"/>
  <c r="D57" i="21" s="1"/>
  <c r="E57" i="21" s="1"/>
  <c r="F57" i="21" s="1"/>
  <c r="G57" i="21" s="1"/>
  <c r="H57" i="21" s="1"/>
  <c r="I57" i="21" s="1"/>
  <c r="J57" i="21" s="1"/>
  <c r="K57" i="21" s="1"/>
  <c r="L57" i="21" s="1"/>
  <c r="M57" i="21" s="1"/>
  <c r="N57" i="21" s="1"/>
  <c r="O57" i="21" s="1"/>
  <c r="P57" i="21" s="1"/>
  <c r="Q57" i="21" s="1"/>
  <c r="R57" i="21" s="1"/>
  <c r="S57" i="21" s="1"/>
  <c r="T57" i="21" s="1"/>
  <c r="U57" i="21" s="1"/>
  <c r="V57" i="21" s="1"/>
  <c r="C112" i="18"/>
  <c r="G111" i="18" s="1"/>
  <c r="Z25" i="19"/>
  <c r="C112" i="21"/>
  <c r="E73" i="20"/>
  <c r="C57" i="20"/>
  <c r="D57" i="20" s="1"/>
  <c r="E57" i="20" s="1"/>
  <c r="F57" i="20" s="1"/>
  <c r="G57" i="20" s="1"/>
  <c r="H57" i="20" s="1"/>
  <c r="I57" i="20" s="1"/>
  <c r="J57" i="20" s="1"/>
  <c r="K57" i="20" s="1"/>
  <c r="L57" i="20" s="1"/>
  <c r="M57" i="20" s="1"/>
  <c r="N57" i="20" s="1"/>
  <c r="O57" i="20" s="1"/>
  <c r="P57" i="20" s="1"/>
  <c r="Q57" i="20" s="1"/>
  <c r="R57" i="20" s="1"/>
  <c r="S57" i="20" s="1"/>
  <c r="T57" i="20" s="1"/>
  <c r="U57" i="20" s="1"/>
  <c r="V57" i="20" s="1"/>
  <c r="C27" i="19"/>
  <c r="D27" i="19" s="1"/>
  <c r="E27" i="19" s="1"/>
  <c r="F27" i="19" s="1"/>
  <c r="G27" i="19" s="1"/>
  <c r="H27" i="19" s="1"/>
  <c r="I27" i="19" s="1"/>
  <c r="J27" i="19" s="1"/>
  <c r="K27" i="19" s="1"/>
  <c r="L27" i="19" s="1"/>
  <c r="M27" i="19" s="1"/>
  <c r="N27" i="19" s="1"/>
  <c r="O27" i="19" s="1"/>
  <c r="P27" i="19" s="1"/>
  <c r="Q27" i="19" s="1"/>
  <c r="R27" i="19" s="1"/>
  <c r="S27" i="19" s="1"/>
  <c r="T27" i="19" s="1"/>
  <c r="U27" i="19" s="1"/>
  <c r="V27" i="19" s="1"/>
  <c r="B79" i="20"/>
  <c r="B84" i="20" s="1"/>
  <c r="C84" i="20" s="1"/>
  <c r="C56" i="19"/>
  <c r="B79" i="21"/>
  <c r="B84" i="21" s="1"/>
  <c r="C84" i="21" s="1"/>
  <c r="E59" i="20"/>
  <c r="F100" i="20"/>
  <c r="G53" i="20"/>
  <c r="F59" i="20" s="1"/>
  <c r="D54" i="20"/>
  <c r="E59" i="21"/>
  <c r="G53" i="21"/>
  <c r="F59" i="21" s="1"/>
  <c r="F100" i="21"/>
  <c r="Y22" i="20"/>
  <c r="Y19" i="20"/>
  <c r="Y21" i="20"/>
  <c r="B73" i="19"/>
  <c r="X67" i="19"/>
  <c r="W67" i="19"/>
  <c r="W45" i="21"/>
  <c r="X45" i="21"/>
  <c r="C73" i="19"/>
  <c r="F70" i="21"/>
  <c r="F70" i="19"/>
  <c r="F70" i="20"/>
  <c r="B73" i="20"/>
  <c r="X67" i="20"/>
  <c r="W67" i="20"/>
  <c r="X67" i="21"/>
  <c r="W67" i="21"/>
  <c r="B73" i="21"/>
  <c r="G53" i="19"/>
  <c r="F100" i="19"/>
  <c r="C110" i="20"/>
  <c r="D110" i="20" s="1"/>
  <c r="E110" i="20" s="1"/>
  <c r="F110" i="20" s="1"/>
  <c r="G110" i="20" s="1"/>
  <c r="H110" i="20" s="1"/>
  <c r="I110" i="20" s="1"/>
  <c r="J110" i="20" s="1"/>
  <c r="K110" i="20" s="1"/>
  <c r="L110" i="20" s="1"/>
  <c r="M110" i="20" s="1"/>
  <c r="N110" i="20" s="1"/>
  <c r="O110" i="20" s="1"/>
  <c r="P110" i="20" s="1"/>
  <c r="Q110" i="20" s="1"/>
  <c r="R110" i="20" s="1"/>
  <c r="S110" i="20" s="1"/>
  <c r="T110" i="20" s="1"/>
  <c r="U110" i="20" s="1"/>
  <c r="V110" i="20" s="1"/>
  <c r="W110" i="20" s="1"/>
  <c r="W111" i="20" s="1"/>
  <c r="Y22" i="19"/>
  <c r="Y19" i="19"/>
  <c r="Y21" i="19"/>
  <c r="C82" i="19"/>
  <c r="C60" i="21"/>
  <c r="E54" i="21"/>
  <c r="F24" i="19"/>
  <c r="E101" i="19"/>
  <c r="E81" i="20"/>
  <c r="W45" i="20"/>
  <c r="X45" i="20"/>
  <c r="F24" i="20"/>
  <c r="E101" i="20"/>
  <c r="E86" i="21"/>
  <c r="G81" i="21"/>
  <c r="Y22" i="21"/>
  <c r="Y19" i="21"/>
  <c r="Y21" i="21"/>
  <c r="C82" i="20"/>
  <c r="D54" i="19"/>
  <c r="F81" i="19"/>
  <c r="B62" i="20"/>
  <c r="D56" i="20"/>
  <c r="C57" i="19"/>
  <c r="D57" i="19" s="1"/>
  <c r="E57" i="19" s="1"/>
  <c r="F57" i="19" s="1"/>
  <c r="G57" i="19" s="1"/>
  <c r="H57" i="19" s="1"/>
  <c r="I57" i="19" s="1"/>
  <c r="J57" i="19" s="1"/>
  <c r="K57" i="19" s="1"/>
  <c r="L57" i="19" s="1"/>
  <c r="M57" i="19" s="1"/>
  <c r="N57" i="19" s="1"/>
  <c r="O57" i="19" s="1"/>
  <c r="P57" i="19" s="1"/>
  <c r="Q57" i="19" s="1"/>
  <c r="R57" i="19" s="1"/>
  <c r="S57" i="19" s="1"/>
  <c r="T57" i="19" s="1"/>
  <c r="U57" i="19" s="1"/>
  <c r="V57" i="19" s="1"/>
  <c r="X17" i="19"/>
  <c r="W17" i="19"/>
  <c r="C110" i="19"/>
  <c r="D110" i="19" s="1"/>
  <c r="E110" i="19" s="1"/>
  <c r="F110" i="19" s="1"/>
  <c r="G110" i="19" s="1"/>
  <c r="H110" i="19" s="1"/>
  <c r="I110" i="19" s="1"/>
  <c r="J110" i="19" s="1"/>
  <c r="K110" i="19" s="1"/>
  <c r="L110" i="19" s="1"/>
  <c r="M110" i="19" s="1"/>
  <c r="N110" i="19" s="1"/>
  <c r="O110" i="19" s="1"/>
  <c r="P110" i="19" s="1"/>
  <c r="Q110" i="19" s="1"/>
  <c r="R110" i="19" s="1"/>
  <c r="S110" i="19" s="1"/>
  <c r="T110" i="19" s="1"/>
  <c r="U110" i="19" s="1"/>
  <c r="V110" i="19" s="1"/>
  <c r="W110" i="19" s="1"/>
  <c r="W111" i="19" s="1"/>
  <c r="W17" i="20"/>
  <c r="X17" i="20"/>
  <c r="E73" i="19"/>
  <c r="E73" i="21"/>
  <c r="C86" i="20"/>
  <c r="M74" i="20"/>
  <c r="N2" i="20"/>
  <c r="K55" i="20"/>
  <c r="I61" i="20"/>
  <c r="I83" i="20"/>
  <c r="L77" i="20"/>
  <c r="L78" i="20"/>
  <c r="L76" i="20"/>
  <c r="M78" i="21"/>
  <c r="M77" i="21"/>
  <c r="M76" i="21"/>
  <c r="J83" i="21"/>
  <c r="L55" i="21"/>
  <c r="K61" i="21" s="1"/>
  <c r="N74" i="21"/>
  <c r="O2" i="21"/>
  <c r="H88" i="21"/>
  <c r="J61" i="21"/>
  <c r="L78" i="19"/>
  <c r="L76" i="19"/>
  <c r="L77" i="19"/>
  <c r="K55" i="19"/>
  <c r="I83" i="19"/>
  <c r="H88" i="19" s="1"/>
  <c r="M74" i="19"/>
  <c r="N2" i="19"/>
  <c r="L78" i="13"/>
  <c r="L76" i="13"/>
  <c r="W67" i="17"/>
  <c r="X67" i="17"/>
  <c r="B73" i="17"/>
  <c r="D86" i="18"/>
  <c r="F81" i="18"/>
  <c r="E86" i="18" s="1"/>
  <c r="C56" i="17"/>
  <c r="D56" i="17" s="1"/>
  <c r="X45" i="17"/>
  <c r="W45" i="17"/>
  <c r="W45" i="18"/>
  <c r="X45" i="18"/>
  <c r="C72" i="12"/>
  <c r="C82" i="18"/>
  <c r="C82" i="17"/>
  <c r="B87" i="17" s="1"/>
  <c r="D86" i="17"/>
  <c r="F81" i="17"/>
  <c r="G53" i="18"/>
  <c r="F59" i="18" s="1"/>
  <c r="F100" i="18"/>
  <c r="W17" i="18"/>
  <c r="X17" i="18"/>
  <c r="Y22" i="17"/>
  <c r="Y19" i="17"/>
  <c r="Y21" i="17"/>
  <c r="L77" i="13"/>
  <c r="C112" i="17"/>
  <c r="F70" i="18"/>
  <c r="F70" i="17"/>
  <c r="Y22" i="18"/>
  <c r="Y19" i="18"/>
  <c r="Y21" i="18"/>
  <c r="X17" i="17"/>
  <c r="W17" i="17"/>
  <c r="B79" i="18"/>
  <c r="B84" i="18" s="1"/>
  <c r="C84" i="18" s="1"/>
  <c r="G53" i="17"/>
  <c r="F59" i="17" s="1"/>
  <c r="F100" i="17"/>
  <c r="D54" i="17"/>
  <c r="B60" i="18"/>
  <c r="D54" i="18"/>
  <c r="C73" i="13"/>
  <c r="E73" i="17"/>
  <c r="B79" i="17"/>
  <c r="B84" i="17" s="1"/>
  <c r="X67" i="18"/>
  <c r="W67" i="18"/>
  <c r="B73" i="18"/>
  <c r="F24" i="18"/>
  <c r="E101" i="18"/>
  <c r="E101" i="17"/>
  <c r="F24" i="17"/>
  <c r="C57" i="17"/>
  <c r="D57" i="17" s="1"/>
  <c r="E57" i="17" s="1"/>
  <c r="F57" i="17" s="1"/>
  <c r="G57" i="17" s="1"/>
  <c r="H57" i="17" s="1"/>
  <c r="I57" i="17" s="1"/>
  <c r="J57" i="17" s="1"/>
  <c r="K57" i="17" s="1"/>
  <c r="L57" i="17" s="1"/>
  <c r="M57" i="17" s="1"/>
  <c r="N57" i="17" s="1"/>
  <c r="O57" i="17" s="1"/>
  <c r="P57" i="17" s="1"/>
  <c r="Q57" i="17" s="1"/>
  <c r="R57" i="17" s="1"/>
  <c r="S57" i="17" s="1"/>
  <c r="T57" i="17" s="1"/>
  <c r="U57" i="17" s="1"/>
  <c r="V57" i="17" s="1"/>
  <c r="C56" i="18"/>
  <c r="D56" i="18" s="1"/>
  <c r="C57" i="18"/>
  <c r="D57" i="18" s="1"/>
  <c r="E57" i="18" s="1"/>
  <c r="F57" i="18" s="1"/>
  <c r="G57" i="18" s="1"/>
  <c r="H57" i="18" s="1"/>
  <c r="I57" i="18" s="1"/>
  <c r="J57" i="18" s="1"/>
  <c r="K57" i="18" s="1"/>
  <c r="L57" i="18" s="1"/>
  <c r="M57" i="18" s="1"/>
  <c r="N57" i="18" s="1"/>
  <c r="O57" i="18" s="1"/>
  <c r="P57" i="18" s="1"/>
  <c r="Q57" i="18" s="1"/>
  <c r="R57" i="18" s="1"/>
  <c r="S57" i="18" s="1"/>
  <c r="T57" i="18" s="1"/>
  <c r="U57" i="18" s="1"/>
  <c r="V57" i="18" s="1"/>
  <c r="E59" i="18"/>
  <c r="B60" i="17"/>
  <c r="Y20" i="17"/>
  <c r="M74" i="18"/>
  <c r="N2" i="18"/>
  <c r="K55" i="18"/>
  <c r="J61" i="18" s="1"/>
  <c r="L78" i="18"/>
  <c r="L77" i="18"/>
  <c r="L76" i="18"/>
  <c r="I61" i="18"/>
  <c r="M78" i="17"/>
  <c r="M77" i="17"/>
  <c r="M76" i="17"/>
  <c r="K55" i="17"/>
  <c r="J61" i="17" s="1"/>
  <c r="N74" i="17"/>
  <c r="O2" i="17"/>
  <c r="I61" i="17"/>
  <c r="C82" i="13"/>
  <c r="D82" i="13" s="1"/>
  <c r="C87" i="13" s="1"/>
  <c r="Y20" i="13"/>
  <c r="Y22" i="13"/>
  <c r="Y19" i="13"/>
  <c r="Y21" i="13"/>
  <c r="E81" i="13"/>
  <c r="G61" i="13"/>
  <c r="I55" i="13"/>
  <c r="H61" i="13" s="1"/>
  <c r="C57" i="13"/>
  <c r="D57" i="13" s="1"/>
  <c r="E57" i="13" s="1"/>
  <c r="F57" i="13" s="1"/>
  <c r="G57" i="13" s="1"/>
  <c r="H57" i="13" s="1"/>
  <c r="I57" i="13" s="1"/>
  <c r="J57" i="13" s="1"/>
  <c r="K57" i="13" s="1"/>
  <c r="L57" i="13" s="1"/>
  <c r="M57" i="13" s="1"/>
  <c r="N57" i="13" s="1"/>
  <c r="O57" i="13" s="1"/>
  <c r="P57" i="13" s="1"/>
  <c r="Q57" i="13" s="1"/>
  <c r="R57" i="13" s="1"/>
  <c r="S57" i="13" s="1"/>
  <c r="T57" i="13" s="1"/>
  <c r="U57" i="13" s="1"/>
  <c r="V57" i="13" s="1"/>
  <c r="X17" i="13"/>
  <c r="W17" i="13"/>
  <c r="G53" i="13"/>
  <c r="F59" i="13" s="1"/>
  <c r="F100" i="13"/>
  <c r="X45" i="13"/>
  <c r="W45" i="13"/>
  <c r="E71" i="12"/>
  <c r="E78" i="12" s="1"/>
  <c r="E88" i="13"/>
  <c r="C86" i="13"/>
  <c r="F88" i="13"/>
  <c r="H83" i="13"/>
  <c r="I83" i="13" s="1"/>
  <c r="E72" i="13"/>
  <c r="B60" i="13"/>
  <c r="D54" i="13"/>
  <c r="C60" i="13" s="1"/>
  <c r="E101" i="13"/>
  <c r="F24" i="13"/>
  <c r="B79" i="13"/>
  <c r="B84" i="13" s="1"/>
  <c r="D110" i="13"/>
  <c r="E110" i="13" s="1"/>
  <c r="F110" i="13" s="1"/>
  <c r="G110" i="13" s="1"/>
  <c r="H110" i="13" s="1"/>
  <c r="I110" i="13" s="1"/>
  <c r="J110" i="13" s="1"/>
  <c r="K110" i="13" s="1"/>
  <c r="L110" i="13" s="1"/>
  <c r="M110" i="13" s="1"/>
  <c r="N110" i="13" s="1"/>
  <c r="O110" i="13" s="1"/>
  <c r="P110" i="13" s="1"/>
  <c r="Q110" i="13" s="1"/>
  <c r="R110" i="13" s="1"/>
  <c r="S110" i="13" s="1"/>
  <c r="T110" i="13" s="1"/>
  <c r="U110" i="13" s="1"/>
  <c r="V110" i="13" s="1"/>
  <c r="W110" i="13" s="1"/>
  <c r="W111" i="13" s="1"/>
  <c r="F69" i="12"/>
  <c r="F71" i="12" s="1"/>
  <c r="F70" i="13"/>
  <c r="C56" i="13"/>
  <c r="B73" i="13"/>
  <c r="W67" i="13"/>
  <c r="X67" i="13"/>
  <c r="F61" i="13"/>
  <c r="M74" i="13"/>
  <c r="N2" i="13"/>
  <c r="D23" i="5"/>
  <c r="F22" i="5"/>
  <c r="B24" i="5"/>
  <c r="B47" i="5" s="1"/>
  <c r="C109" i="12"/>
  <c r="D28" i="5"/>
  <c r="C29" i="5" s="1"/>
  <c r="G35" i="2"/>
  <c r="F36" i="2" s="1"/>
  <c r="F23" i="12"/>
  <c r="E100" i="12"/>
  <c r="C83" i="12"/>
  <c r="H82" i="12"/>
  <c r="F80" i="12"/>
  <c r="F87" i="12"/>
  <c r="C81" i="12"/>
  <c r="D85" i="12"/>
  <c r="D55" i="12"/>
  <c r="C61" i="12" s="1"/>
  <c r="I54" i="12"/>
  <c r="H60" i="12" s="1"/>
  <c r="G52" i="12"/>
  <c r="E58" i="12"/>
  <c r="G60" i="12"/>
  <c r="B61" i="12"/>
  <c r="T26" i="12"/>
  <c r="U26" i="12" s="1"/>
  <c r="V26" i="12" s="1"/>
  <c r="Y21" i="12"/>
  <c r="Y20" i="12"/>
  <c r="Y18" i="12"/>
  <c r="W16" i="12"/>
  <c r="X16" i="12"/>
  <c r="T24" i="12"/>
  <c r="U24" i="12" s="1"/>
  <c r="V24" i="12" s="1"/>
  <c r="F27" i="5"/>
  <c r="G35" i="3"/>
  <c r="F40" i="3"/>
  <c r="E41" i="3" s="1"/>
  <c r="G16" i="3"/>
  <c r="H14" i="2"/>
  <c r="G8" i="5"/>
  <c r="G10" i="5"/>
  <c r="G9" i="5"/>
  <c r="G26" i="5"/>
  <c r="G20" i="5"/>
  <c r="G21" i="5"/>
  <c r="G19" i="5"/>
  <c r="I19" i="5"/>
  <c r="F11" i="5"/>
  <c r="G36" i="24" l="1"/>
  <c r="I35" i="24"/>
  <c r="I83" i="17"/>
  <c r="H88" i="17" s="1"/>
  <c r="I83" i="18"/>
  <c r="J83" i="18" s="1"/>
  <c r="C59" i="12"/>
  <c r="L111" i="18"/>
  <c r="J16" i="24"/>
  <c r="I17" i="24" s="1"/>
  <c r="H17" i="24"/>
  <c r="J40" i="24"/>
  <c r="Q111" i="18"/>
  <c r="U111" i="18"/>
  <c r="H111" i="18"/>
  <c r="T111" i="18"/>
  <c r="D111" i="18"/>
  <c r="M111" i="18"/>
  <c r="E111" i="18"/>
  <c r="C113" i="18"/>
  <c r="I111" i="18"/>
  <c r="V111" i="18"/>
  <c r="F76" i="12"/>
  <c r="N111" i="18"/>
  <c r="J111" i="18"/>
  <c r="R111" i="18"/>
  <c r="F111" i="18"/>
  <c r="S111" i="18"/>
  <c r="K111" i="18"/>
  <c r="B111" i="18"/>
  <c r="O111" i="18"/>
  <c r="C111" i="18"/>
  <c r="P111" i="18"/>
  <c r="E72" i="12"/>
  <c r="C112" i="19"/>
  <c r="F111" i="19" s="1"/>
  <c r="E54" i="19"/>
  <c r="F54" i="19" s="1"/>
  <c r="F81" i="20"/>
  <c r="E86" i="20" s="1"/>
  <c r="F54" i="21"/>
  <c r="F72" i="21"/>
  <c r="E54" i="20"/>
  <c r="B89" i="21"/>
  <c r="D84" i="21"/>
  <c r="D62" i="21"/>
  <c r="F56" i="21"/>
  <c r="G56" i="21" s="1"/>
  <c r="E56" i="20"/>
  <c r="F56" i="20" s="1"/>
  <c r="D82" i="19"/>
  <c r="H53" i="19"/>
  <c r="G100" i="19"/>
  <c r="F72" i="19"/>
  <c r="G100" i="20"/>
  <c r="H53" i="20"/>
  <c r="G59" i="20" s="1"/>
  <c r="G22" i="5"/>
  <c r="C60" i="19"/>
  <c r="D86" i="20"/>
  <c r="D60" i="21"/>
  <c r="C112" i="20"/>
  <c r="C62" i="21"/>
  <c r="G81" i="19"/>
  <c r="F86" i="19" s="1"/>
  <c r="D82" i="20"/>
  <c r="C87" i="20" s="1"/>
  <c r="F86" i="21"/>
  <c r="H81" i="21"/>
  <c r="F101" i="19"/>
  <c r="G24" i="19"/>
  <c r="F72" i="20"/>
  <c r="H53" i="21"/>
  <c r="G100" i="21"/>
  <c r="D56" i="19"/>
  <c r="G111" i="21"/>
  <c r="L111" i="21"/>
  <c r="Q111" i="21"/>
  <c r="C113" i="21"/>
  <c r="J111" i="21"/>
  <c r="K111" i="21"/>
  <c r="P111" i="21"/>
  <c r="U111" i="21"/>
  <c r="E111" i="21"/>
  <c r="N111" i="21"/>
  <c r="O111" i="21"/>
  <c r="T111" i="21"/>
  <c r="D111" i="21"/>
  <c r="I111" i="21"/>
  <c r="R111" i="21"/>
  <c r="B111" i="21"/>
  <c r="S111" i="21"/>
  <c r="C111" i="21"/>
  <c r="H111" i="21"/>
  <c r="M111" i="21"/>
  <c r="V111" i="21"/>
  <c r="F111" i="21"/>
  <c r="C84" i="19"/>
  <c r="B89" i="19" s="1"/>
  <c r="G24" i="21"/>
  <c r="F101" i="21"/>
  <c r="D82" i="21"/>
  <c r="C62" i="20"/>
  <c r="B87" i="19"/>
  <c r="Z27" i="19"/>
  <c r="G70" i="20"/>
  <c r="G72" i="20" s="1"/>
  <c r="G70" i="21"/>
  <c r="G70" i="19"/>
  <c r="G72" i="19" s="1"/>
  <c r="F101" i="20"/>
  <c r="G24" i="20"/>
  <c r="B89" i="20"/>
  <c r="D84" i="20"/>
  <c r="B62" i="17"/>
  <c r="X57" i="19"/>
  <c r="E86" i="19"/>
  <c r="B87" i="20"/>
  <c r="F59" i="19"/>
  <c r="C60" i="20"/>
  <c r="B62" i="19"/>
  <c r="X57" i="20"/>
  <c r="X57" i="21"/>
  <c r="L55" i="20"/>
  <c r="K61" i="20" s="1"/>
  <c r="M77" i="20"/>
  <c r="M78" i="20"/>
  <c r="M76" i="20"/>
  <c r="J83" i="20"/>
  <c r="N74" i="20"/>
  <c r="O2" i="20"/>
  <c r="J61" i="20"/>
  <c r="H88" i="20"/>
  <c r="O74" i="21"/>
  <c r="P2" i="21"/>
  <c r="K83" i="21"/>
  <c r="J88" i="21" s="1"/>
  <c r="M55" i="21"/>
  <c r="L61" i="21" s="1"/>
  <c r="I88" i="21"/>
  <c r="N78" i="21"/>
  <c r="N77" i="21"/>
  <c r="N76" i="21"/>
  <c r="M77" i="19"/>
  <c r="M78" i="19"/>
  <c r="M76" i="19"/>
  <c r="N74" i="19"/>
  <c r="O2" i="19"/>
  <c r="L55" i="19"/>
  <c r="K61" i="19" s="1"/>
  <c r="J61" i="19"/>
  <c r="J83" i="19"/>
  <c r="M78" i="13"/>
  <c r="M76" i="13"/>
  <c r="M77" i="13"/>
  <c r="G24" i="18"/>
  <c r="F101" i="18"/>
  <c r="B89" i="18"/>
  <c r="D84" i="18"/>
  <c r="E84" i="18" s="1"/>
  <c r="O111" i="17"/>
  <c r="T111" i="17"/>
  <c r="D111" i="17"/>
  <c r="I111" i="17"/>
  <c r="R111" i="17"/>
  <c r="B111" i="17"/>
  <c r="S111" i="17"/>
  <c r="C111" i="17"/>
  <c r="H111" i="17"/>
  <c r="M111" i="17"/>
  <c r="V111" i="17"/>
  <c r="F111" i="17"/>
  <c r="G111" i="17"/>
  <c r="L111" i="17"/>
  <c r="Q111" i="17"/>
  <c r="C113" i="17"/>
  <c r="J111" i="17"/>
  <c r="K111" i="17"/>
  <c r="P111" i="17"/>
  <c r="U111" i="17"/>
  <c r="E111" i="17"/>
  <c r="N111" i="17"/>
  <c r="G100" i="18"/>
  <c r="H53" i="18"/>
  <c r="G81" i="18"/>
  <c r="H81" i="18" s="1"/>
  <c r="C60" i="18"/>
  <c r="E54" i="18"/>
  <c r="F72" i="18"/>
  <c r="B87" i="18"/>
  <c r="D82" i="18"/>
  <c r="E82" i="18" s="1"/>
  <c r="X57" i="18"/>
  <c r="X57" i="17"/>
  <c r="C62" i="18"/>
  <c r="E56" i="18"/>
  <c r="F56" i="18" s="1"/>
  <c r="E54" i="17"/>
  <c r="D60" i="17" s="1"/>
  <c r="F72" i="17"/>
  <c r="G81" i="17"/>
  <c r="F86" i="17" s="1"/>
  <c r="C62" i="17"/>
  <c r="E56" i="17"/>
  <c r="G70" i="18"/>
  <c r="G70" i="17"/>
  <c r="G72" i="17" s="1"/>
  <c r="F101" i="17"/>
  <c r="G24" i="17"/>
  <c r="C84" i="17"/>
  <c r="D84" i="17" s="1"/>
  <c r="H53" i="17"/>
  <c r="G59" i="17" s="1"/>
  <c r="G100" i="17"/>
  <c r="D82" i="17"/>
  <c r="E82" i="17" s="1"/>
  <c r="B62" i="18"/>
  <c r="C60" i="17"/>
  <c r="E86" i="17"/>
  <c r="N74" i="18"/>
  <c r="O2" i="18"/>
  <c r="L55" i="18"/>
  <c r="K61" i="18" s="1"/>
  <c r="M77" i="18"/>
  <c r="M78" i="18"/>
  <c r="M76" i="18"/>
  <c r="O74" i="17"/>
  <c r="P2" i="17"/>
  <c r="N77" i="17"/>
  <c r="N78" i="17"/>
  <c r="N76" i="17"/>
  <c r="L55" i="17"/>
  <c r="B87" i="13"/>
  <c r="X57" i="13"/>
  <c r="G88" i="13"/>
  <c r="D56" i="13"/>
  <c r="E79" i="13"/>
  <c r="E73" i="13"/>
  <c r="H88" i="13"/>
  <c r="J83" i="13"/>
  <c r="H53" i="13"/>
  <c r="G100" i="13"/>
  <c r="F81" i="13"/>
  <c r="E86" i="13" s="1"/>
  <c r="C112" i="13"/>
  <c r="G24" i="13"/>
  <c r="F101" i="13"/>
  <c r="E54" i="13"/>
  <c r="J55" i="13"/>
  <c r="G69" i="12"/>
  <c r="G76" i="12" s="1"/>
  <c r="G70" i="13"/>
  <c r="F72" i="13"/>
  <c r="D86" i="13"/>
  <c r="C84" i="13"/>
  <c r="E82" i="13"/>
  <c r="D87" i="13" s="1"/>
  <c r="B62" i="13"/>
  <c r="N74" i="13"/>
  <c r="O2" i="13"/>
  <c r="C24" i="5"/>
  <c r="C47" i="5" s="1"/>
  <c r="C49" i="5" s="1"/>
  <c r="B49" i="5"/>
  <c r="E23" i="5"/>
  <c r="D24" i="5" s="1"/>
  <c r="D109" i="12"/>
  <c r="E28" i="5"/>
  <c r="D29" i="5" s="1"/>
  <c r="H35" i="2"/>
  <c r="I35" i="2" s="1"/>
  <c r="G23" i="12"/>
  <c r="F100" i="12"/>
  <c r="F58" i="12"/>
  <c r="G99" i="12"/>
  <c r="D81" i="12"/>
  <c r="G80" i="12"/>
  <c r="D83" i="12"/>
  <c r="I82" i="12"/>
  <c r="H87" i="12" s="1"/>
  <c r="B86" i="12"/>
  <c r="E85" i="12"/>
  <c r="B88" i="12"/>
  <c r="G87" i="12"/>
  <c r="F72" i="12"/>
  <c r="F78" i="12"/>
  <c r="H52" i="12"/>
  <c r="H99" i="12" s="1"/>
  <c r="E55" i="12"/>
  <c r="F53" i="12"/>
  <c r="E59" i="12" s="1"/>
  <c r="J54" i="12"/>
  <c r="I60" i="12" s="1"/>
  <c r="G27" i="5"/>
  <c r="H16" i="3"/>
  <c r="G17" i="3" s="1"/>
  <c r="H35" i="3"/>
  <c r="G36" i="3" s="1"/>
  <c r="F36" i="3"/>
  <c r="G40" i="3"/>
  <c r="F41" i="3" s="1"/>
  <c r="F17" i="3"/>
  <c r="I14" i="2"/>
  <c r="H9" i="5"/>
  <c r="H26" i="5"/>
  <c r="H20" i="5"/>
  <c r="I20" i="5" s="1"/>
  <c r="H10" i="5"/>
  <c r="H8" i="5"/>
  <c r="I21" i="5"/>
  <c r="H19" i="5"/>
  <c r="H21" i="5"/>
  <c r="G11" i="5"/>
  <c r="E12" i="5"/>
  <c r="J35" i="24" l="1"/>
  <c r="H36" i="24"/>
  <c r="J83" i="17"/>
  <c r="I88" i="17" s="1"/>
  <c r="H88" i="18"/>
  <c r="H22" i="5"/>
  <c r="I22" i="5" s="1"/>
  <c r="K16" i="24"/>
  <c r="J17" i="24" s="1"/>
  <c r="K40" i="24"/>
  <c r="I41" i="24"/>
  <c r="G112" i="18"/>
  <c r="E111" i="19"/>
  <c r="N111" i="19"/>
  <c r="G111" i="19"/>
  <c r="L111" i="19"/>
  <c r="G71" i="12"/>
  <c r="G78" i="12" s="1"/>
  <c r="E62" i="21"/>
  <c r="O111" i="19"/>
  <c r="Q111" i="19"/>
  <c r="S111" i="19"/>
  <c r="T111" i="19"/>
  <c r="C113" i="19"/>
  <c r="C111" i="19"/>
  <c r="D111" i="19"/>
  <c r="J111" i="19"/>
  <c r="H111" i="19"/>
  <c r="I111" i="19"/>
  <c r="K111" i="19"/>
  <c r="M111" i="19"/>
  <c r="R111" i="19"/>
  <c r="P111" i="19"/>
  <c r="V111" i="19"/>
  <c r="B111" i="19"/>
  <c r="U111" i="19"/>
  <c r="H70" i="21"/>
  <c r="H72" i="21" s="1"/>
  <c r="H70" i="19"/>
  <c r="H70" i="20"/>
  <c r="C89" i="20"/>
  <c r="E84" i="20"/>
  <c r="G79" i="19"/>
  <c r="G73" i="19"/>
  <c r="F79" i="20"/>
  <c r="F73" i="20"/>
  <c r="G86" i="21"/>
  <c r="I81" i="21"/>
  <c r="F79" i="19"/>
  <c r="F73" i="19"/>
  <c r="E82" i="19"/>
  <c r="F79" i="21"/>
  <c r="F73" i="21"/>
  <c r="G81" i="20"/>
  <c r="E82" i="21"/>
  <c r="E56" i="19"/>
  <c r="D62" i="19" s="1"/>
  <c r="O111" i="20"/>
  <c r="T111" i="20"/>
  <c r="D111" i="20"/>
  <c r="I111" i="20"/>
  <c r="R111" i="20"/>
  <c r="B111" i="20"/>
  <c r="S111" i="20"/>
  <c r="C111" i="20"/>
  <c r="H111" i="20"/>
  <c r="M111" i="20"/>
  <c r="V111" i="20"/>
  <c r="F111" i="20"/>
  <c r="G111" i="20"/>
  <c r="L111" i="20"/>
  <c r="Q111" i="20"/>
  <c r="C113" i="20"/>
  <c r="J111" i="20"/>
  <c r="K111" i="20"/>
  <c r="P111" i="20"/>
  <c r="U111" i="20"/>
  <c r="E111" i="20"/>
  <c r="N111" i="20"/>
  <c r="I53" i="19"/>
  <c r="H100" i="19"/>
  <c r="E62" i="20"/>
  <c r="G56" i="20"/>
  <c r="C89" i="21"/>
  <c r="E84" i="21"/>
  <c r="H24" i="20"/>
  <c r="G101" i="20"/>
  <c r="G79" i="20"/>
  <c r="G73" i="20"/>
  <c r="D84" i="19"/>
  <c r="C89" i="19" s="1"/>
  <c r="G101" i="19"/>
  <c r="H24" i="19"/>
  <c r="E82" i="20"/>
  <c r="F54" i="20"/>
  <c r="G54" i="20" s="1"/>
  <c r="G54" i="21"/>
  <c r="F60" i="21" s="1"/>
  <c r="E60" i="19"/>
  <c r="G54" i="19"/>
  <c r="C87" i="21"/>
  <c r="G112" i="21"/>
  <c r="C62" i="19"/>
  <c r="G59" i="19"/>
  <c r="D62" i="20"/>
  <c r="G72" i="21"/>
  <c r="H24" i="21"/>
  <c r="G101" i="21"/>
  <c r="G59" i="21"/>
  <c r="I53" i="21"/>
  <c r="H100" i="21"/>
  <c r="H81" i="19"/>
  <c r="H100" i="20"/>
  <c r="I53" i="20"/>
  <c r="F62" i="21"/>
  <c r="H56" i="21"/>
  <c r="C87" i="19"/>
  <c r="D60" i="20"/>
  <c r="E60" i="21"/>
  <c r="D60" i="19"/>
  <c r="N78" i="20"/>
  <c r="N77" i="20"/>
  <c r="N76" i="20"/>
  <c r="O74" i="20"/>
  <c r="P2" i="20"/>
  <c r="M55" i="20"/>
  <c r="K83" i="20"/>
  <c r="I88" i="20"/>
  <c r="N55" i="21"/>
  <c r="M61" i="21" s="1"/>
  <c r="L83" i="21"/>
  <c r="O78" i="21"/>
  <c r="O77" i="21"/>
  <c r="O76" i="21"/>
  <c r="P74" i="21"/>
  <c r="Q2" i="21"/>
  <c r="K83" i="19"/>
  <c r="M55" i="19"/>
  <c r="L61" i="19" s="1"/>
  <c r="I88" i="19"/>
  <c r="N78" i="19"/>
  <c r="N77" i="19"/>
  <c r="N76" i="19"/>
  <c r="O74" i="19"/>
  <c r="P2" i="19"/>
  <c r="H24" i="17"/>
  <c r="G101" i="17"/>
  <c r="D60" i="18"/>
  <c r="F54" i="18"/>
  <c r="H100" i="18"/>
  <c r="I53" i="18"/>
  <c r="C89" i="17"/>
  <c r="E84" i="17"/>
  <c r="G72" i="18"/>
  <c r="F79" i="18"/>
  <c r="F84" i="18" s="1"/>
  <c r="F73" i="18"/>
  <c r="G86" i="18"/>
  <c r="I81" i="18"/>
  <c r="C87" i="18"/>
  <c r="G112" i="17"/>
  <c r="H70" i="18"/>
  <c r="H72" i="18" s="1"/>
  <c r="H70" i="17"/>
  <c r="H81" i="17"/>
  <c r="G86" i="17" s="1"/>
  <c r="D87" i="18"/>
  <c r="F82" i="18"/>
  <c r="D87" i="17"/>
  <c r="F82" i="17"/>
  <c r="E87" i="17" s="1"/>
  <c r="G79" i="17"/>
  <c r="G73" i="17"/>
  <c r="F79" i="17"/>
  <c r="F73" i="17"/>
  <c r="E62" i="18"/>
  <c r="G56" i="18"/>
  <c r="D89" i="18"/>
  <c r="B89" i="17"/>
  <c r="F86" i="18"/>
  <c r="F54" i="17"/>
  <c r="E60" i="17" s="1"/>
  <c r="N78" i="13"/>
  <c r="N76" i="13"/>
  <c r="N77" i="13"/>
  <c r="I53" i="17"/>
  <c r="H59" i="17" s="1"/>
  <c r="H100" i="17"/>
  <c r="D62" i="17"/>
  <c r="F56" i="17"/>
  <c r="H24" i="18"/>
  <c r="G101" i="18"/>
  <c r="C87" i="17"/>
  <c r="D62" i="18"/>
  <c r="G59" i="18"/>
  <c r="C89" i="18"/>
  <c r="N78" i="18"/>
  <c r="N77" i="18"/>
  <c r="N76" i="18"/>
  <c r="O74" i="18"/>
  <c r="P2" i="18"/>
  <c r="K83" i="18"/>
  <c r="J88" i="18" s="1"/>
  <c r="M55" i="18"/>
  <c r="L61" i="18" s="1"/>
  <c r="I88" i="18"/>
  <c r="M55" i="17"/>
  <c r="L61" i="17" s="1"/>
  <c r="K61" i="17"/>
  <c r="O78" i="17"/>
  <c r="O77" i="17"/>
  <c r="O76" i="17"/>
  <c r="P74" i="17"/>
  <c r="Q2" i="17"/>
  <c r="F54" i="13"/>
  <c r="G54" i="13" s="1"/>
  <c r="D84" i="13"/>
  <c r="F79" i="13"/>
  <c r="F73" i="13"/>
  <c r="K55" i="13"/>
  <c r="E56" i="13"/>
  <c r="F56" i="13" s="1"/>
  <c r="D60" i="13"/>
  <c r="S111" i="13"/>
  <c r="C111" i="13"/>
  <c r="H111" i="13"/>
  <c r="M111" i="13"/>
  <c r="V111" i="13"/>
  <c r="F111" i="13"/>
  <c r="R111" i="13"/>
  <c r="G111" i="13"/>
  <c r="L111" i="13"/>
  <c r="Q111" i="13"/>
  <c r="C113" i="13"/>
  <c r="J111" i="13"/>
  <c r="I111" i="13"/>
  <c r="K111" i="13"/>
  <c r="P111" i="13"/>
  <c r="U111" i="13"/>
  <c r="E111" i="13"/>
  <c r="N111" i="13"/>
  <c r="O111" i="13"/>
  <c r="T111" i="13"/>
  <c r="D111" i="13"/>
  <c r="B111" i="13"/>
  <c r="K83" i="13"/>
  <c r="L83" i="13" s="1"/>
  <c r="M83" i="13" s="1"/>
  <c r="L88" i="13" s="1"/>
  <c r="I88" i="13"/>
  <c r="H69" i="12"/>
  <c r="H71" i="12" s="1"/>
  <c r="H70" i="13"/>
  <c r="H24" i="13"/>
  <c r="G101" i="13"/>
  <c r="G59" i="13"/>
  <c r="I53" i="13"/>
  <c r="H59" i="13" s="1"/>
  <c r="H100" i="13"/>
  <c r="B89" i="13"/>
  <c r="I61" i="13"/>
  <c r="C62" i="13"/>
  <c r="G72" i="13"/>
  <c r="G81" i="13"/>
  <c r="F82" i="13"/>
  <c r="O74" i="13"/>
  <c r="P2" i="13"/>
  <c r="D47" i="5"/>
  <c r="D49" i="5" s="1"/>
  <c r="B50" i="5"/>
  <c r="F23" i="5"/>
  <c r="E109" i="12"/>
  <c r="F28" i="5"/>
  <c r="E29" i="5" s="1"/>
  <c r="G36" i="2"/>
  <c r="H23" i="12"/>
  <c r="G100" i="12"/>
  <c r="H80" i="12"/>
  <c r="E81" i="12"/>
  <c r="D86" i="12" s="1"/>
  <c r="J82" i="12"/>
  <c r="C88" i="12"/>
  <c r="C86" i="12"/>
  <c r="E83" i="12"/>
  <c r="F85" i="12"/>
  <c r="I52" i="12"/>
  <c r="G58" i="12"/>
  <c r="G53" i="12"/>
  <c r="F59" i="12" s="1"/>
  <c r="F55" i="12"/>
  <c r="K54" i="12"/>
  <c r="D61" i="12"/>
  <c r="H27" i="5"/>
  <c r="I26" i="5"/>
  <c r="I8" i="5"/>
  <c r="I9" i="5"/>
  <c r="I10" i="5"/>
  <c r="I35" i="3"/>
  <c r="H36" i="3" s="1"/>
  <c r="I16" i="3"/>
  <c r="H40" i="3"/>
  <c r="G41" i="3" s="1"/>
  <c r="J35" i="2"/>
  <c r="H36" i="2"/>
  <c r="J14" i="2"/>
  <c r="H11" i="5"/>
  <c r="F12" i="5"/>
  <c r="I36" i="24" l="1"/>
  <c r="K35" i="24"/>
  <c r="K83" i="17"/>
  <c r="J88" i="17" s="1"/>
  <c r="G72" i="12"/>
  <c r="H76" i="12"/>
  <c r="L16" i="24"/>
  <c r="L40" i="24"/>
  <c r="K41" i="24" s="1"/>
  <c r="J41" i="24"/>
  <c r="G112" i="19"/>
  <c r="E60" i="20"/>
  <c r="I56" i="21"/>
  <c r="I81" i="19"/>
  <c r="G79" i="21"/>
  <c r="G73" i="21"/>
  <c r="H54" i="19"/>
  <c r="G60" i="19" s="1"/>
  <c r="H101" i="19"/>
  <c r="I24" i="19"/>
  <c r="H56" i="20"/>
  <c r="J53" i="19"/>
  <c r="I100" i="19"/>
  <c r="H81" i="20"/>
  <c r="G86" i="20" s="1"/>
  <c r="F84" i="17"/>
  <c r="G84" i="17" s="1"/>
  <c r="F89" i="17" s="1"/>
  <c r="H59" i="21"/>
  <c r="J53" i="21"/>
  <c r="I59" i="21" s="1"/>
  <c r="I100" i="21"/>
  <c r="F82" i="20"/>
  <c r="I24" i="20"/>
  <c r="H101" i="20"/>
  <c r="F56" i="19"/>
  <c r="G56" i="19" s="1"/>
  <c r="H86" i="21"/>
  <c r="J81" i="21"/>
  <c r="D89" i="20"/>
  <c r="F84" i="20"/>
  <c r="H79" i="21"/>
  <c r="H73" i="21"/>
  <c r="G62" i="21"/>
  <c r="F60" i="19"/>
  <c r="F62" i="20"/>
  <c r="F86" i="20"/>
  <c r="I70" i="21"/>
  <c r="I70" i="20"/>
  <c r="I70" i="19"/>
  <c r="H59" i="20"/>
  <c r="J53" i="20"/>
  <c r="I59" i="20" s="1"/>
  <c r="I100" i="20"/>
  <c r="I24" i="21"/>
  <c r="H101" i="21"/>
  <c r="H54" i="21"/>
  <c r="E84" i="19"/>
  <c r="F82" i="21"/>
  <c r="E87" i="21" s="1"/>
  <c r="F82" i="19"/>
  <c r="E87" i="19" s="1"/>
  <c r="H72" i="19"/>
  <c r="D87" i="20"/>
  <c r="H59" i="19"/>
  <c r="F60" i="20"/>
  <c r="H54" i="20"/>
  <c r="D89" i="21"/>
  <c r="F84" i="21"/>
  <c r="H72" i="20"/>
  <c r="G86" i="19"/>
  <c r="G112" i="20"/>
  <c r="D87" i="21"/>
  <c r="D87" i="19"/>
  <c r="L83" i="20"/>
  <c r="N55" i="20"/>
  <c r="O76" i="20"/>
  <c r="O78" i="20"/>
  <c r="O77" i="20"/>
  <c r="P74" i="20"/>
  <c r="Q2" i="20"/>
  <c r="L61" i="20"/>
  <c r="J88" i="20"/>
  <c r="Q74" i="21"/>
  <c r="R2" i="21"/>
  <c r="M83" i="21"/>
  <c r="K88" i="21"/>
  <c r="P76" i="21"/>
  <c r="P77" i="21"/>
  <c r="P78" i="21"/>
  <c r="O55" i="21"/>
  <c r="L83" i="19"/>
  <c r="O78" i="19"/>
  <c r="O77" i="19"/>
  <c r="O76" i="19"/>
  <c r="P74" i="19"/>
  <c r="Q2" i="19"/>
  <c r="N55" i="19"/>
  <c r="J88" i="19"/>
  <c r="E89" i="18"/>
  <c r="E62" i="17"/>
  <c r="G56" i="17"/>
  <c r="H79" i="18"/>
  <c r="H73" i="18"/>
  <c r="E89" i="17"/>
  <c r="I24" i="18"/>
  <c r="H101" i="18"/>
  <c r="E87" i="18"/>
  <c r="G82" i="18"/>
  <c r="H72" i="17"/>
  <c r="H86" i="18"/>
  <c r="J81" i="18"/>
  <c r="K81" i="18" s="1"/>
  <c r="J86" i="18" s="1"/>
  <c r="I100" i="18"/>
  <c r="J53" i="18"/>
  <c r="D89" i="17"/>
  <c r="H101" i="17"/>
  <c r="I24" i="17"/>
  <c r="I81" i="17"/>
  <c r="H86" i="17" s="1"/>
  <c r="G79" i="18"/>
  <c r="G84" i="18" s="1"/>
  <c r="F89" i="18" s="1"/>
  <c r="G73" i="18"/>
  <c r="H59" i="18"/>
  <c r="O78" i="13"/>
  <c r="O76" i="13"/>
  <c r="O77" i="13"/>
  <c r="J53" i="17"/>
  <c r="I100" i="17"/>
  <c r="F62" i="18"/>
  <c r="H56" i="18"/>
  <c r="G62" i="18" s="1"/>
  <c r="I70" i="18"/>
  <c r="I72" i="18" s="1"/>
  <c r="I70" i="17"/>
  <c r="G54" i="17"/>
  <c r="H54" i="17" s="1"/>
  <c r="G82" i="17"/>
  <c r="H82" i="17" s="1"/>
  <c r="E60" i="18"/>
  <c r="G54" i="18"/>
  <c r="P74" i="18"/>
  <c r="Q2" i="18"/>
  <c r="L83" i="18"/>
  <c r="N55" i="18"/>
  <c r="O78" i="18"/>
  <c r="O77" i="18"/>
  <c r="O76" i="18"/>
  <c r="P78" i="17"/>
  <c r="P77" i="17"/>
  <c r="P76" i="17"/>
  <c r="N55" i="17"/>
  <c r="Q74" i="17"/>
  <c r="R2" i="17"/>
  <c r="E60" i="13"/>
  <c r="D62" i="13"/>
  <c r="E84" i="13"/>
  <c r="D89" i="13" s="1"/>
  <c r="H72" i="13"/>
  <c r="L55" i="13"/>
  <c r="K61" i="13" s="1"/>
  <c r="G112" i="13"/>
  <c r="C89" i="13"/>
  <c r="I69" i="12"/>
  <c r="I76" i="12" s="1"/>
  <c r="I70" i="13"/>
  <c r="H81" i="13"/>
  <c r="G86" i="13" s="1"/>
  <c r="I24" i="13"/>
  <c r="H101" i="13"/>
  <c r="E87" i="13"/>
  <c r="G82" i="13"/>
  <c r="G79" i="13"/>
  <c r="G73" i="13"/>
  <c r="F60" i="13"/>
  <c r="H54" i="13"/>
  <c r="G60" i="13" s="1"/>
  <c r="K88" i="13"/>
  <c r="F86" i="13"/>
  <c r="J88" i="13"/>
  <c r="J61" i="13"/>
  <c r="J53" i="13"/>
  <c r="I100" i="13"/>
  <c r="E62" i="13"/>
  <c r="G56" i="13"/>
  <c r="F62" i="13" s="1"/>
  <c r="P74" i="13"/>
  <c r="Q2" i="13"/>
  <c r="N83" i="13"/>
  <c r="M88" i="13" s="1"/>
  <c r="C50" i="5"/>
  <c r="D50" i="5" s="1"/>
  <c r="G23" i="5"/>
  <c r="E24" i="5"/>
  <c r="E47" i="5" s="1"/>
  <c r="F109" i="12"/>
  <c r="G28" i="5"/>
  <c r="F29" i="5" s="1"/>
  <c r="H58" i="12"/>
  <c r="I99" i="12"/>
  <c r="I23" i="12"/>
  <c r="H100" i="12"/>
  <c r="I80" i="12"/>
  <c r="K82" i="12"/>
  <c r="G85" i="12"/>
  <c r="I87" i="12"/>
  <c r="F83" i="12"/>
  <c r="F81" i="12"/>
  <c r="E86" i="12" s="1"/>
  <c r="D88" i="12"/>
  <c r="H72" i="12"/>
  <c r="H78" i="12"/>
  <c r="G55" i="12"/>
  <c r="J60" i="12"/>
  <c r="L54" i="12"/>
  <c r="H53" i="12"/>
  <c r="J52" i="12"/>
  <c r="J99" i="12" s="1"/>
  <c r="E61" i="12"/>
  <c r="I27" i="5"/>
  <c r="J10" i="5"/>
  <c r="J9" i="5"/>
  <c r="K9" i="5" s="1"/>
  <c r="J26" i="5"/>
  <c r="J8" i="5"/>
  <c r="J16" i="3"/>
  <c r="I17" i="3" s="1"/>
  <c r="I40" i="3"/>
  <c r="H41" i="3" s="1"/>
  <c r="H17" i="3"/>
  <c r="J35" i="3"/>
  <c r="K35" i="2"/>
  <c r="I36" i="2"/>
  <c r="K14" i="2"/>
  <c r="K10" i="5"/>
  <c r="J20" i="5"/>
  <c r="J19" i="5"/>
  <c r="J21" i="5"/>
  <c r="J22" i="5" s="1"/>
  <c r="K8" i="5"/>
  <c r="I11" i="5"/>
  <c r="H12" i="5" s="1"/>
  <c r="G12" i="5"/>
  <c r="J36" i="24" l="1"/>
  <c r="L35" i="24"/>
  <c r="M35" i="24" s="1"/>
  <c r="N35" i="24" s="1"/>
  <c r="M36" i="24" s="1"/>
  <c r="L83" i="17"/>
  <c r="K88" i="17" s="1"/>
  <c r="M40" i="24"/>
  <c r="L36" i="24"/>
  <c r="M16" i="24"/>
  <c r="K17" i="24"/>
  <c r="L81" i="18"/>
  <c r="K86" i="18" s="1"/>
  <c r="I54" i="21"/>
  <c r="H60" i="21" s="1"/>
  <c r="I72" i="19"/>
  <c r="J56" i="21"/>
  <c r="K56" i="21" s="1"/>
  <c r="G60" i="20"/>
  <c r="I54" i="20"/>
  <c r="F84" i="19"/>
  <c r="G84" i="19" s="1"/>
  <c r="J24" i="21"/>
  <c r="I101" i="21"/>
  <c r="I86" i="21"/>
  <c r="K81" i="21"/>
  <c r="L81" i="21" s="1"/>
  <c r="M81" i="21" s="1"/>
  <c r="L86" i="21" s="1"/>
  <c r="J24" i="19"/>
  <c r="I101" i="19"/>
  <c r="F87" i="17"/>
  <c r="H62" i="21"/>
  <c r="H79" i="20"/>
  <c r="H73" i="20"/>
  <c r="J24" i="20"/>
  <c r="I101" i="20"/>
  <c r="J100" i="19"/>
  <c r="K53" i="19"/>
  <c r="J59" i="19" s="1"/>
  <c r="J70" i="21"/>
  <c r="J72" i="21" s="1"/>
  <c r="J70" i="19"/>
  <c r="J70" i="20"/>
  <c r="G82" i="19"/>
  <c r="F87" i="19" s="1"/>
  <c r="J100" i="20"/>
  <c r="K53" i="20"/>
  <c r="J59" i="20" s="1"/>
  <c r="I72" i="21"/>
  <c r="G82" i="20"/>
  <c r="F87" i="20" s="1"/>
  <c r="I56" i="20"/>
  <c r="H62" i="20" s="1"/>
  <c r="J81" i="19"/>
  <c r="I71" i="12"/>
  <c r="I78" i="12" s="1"/>
  <c r="D89" i="19"/>
  <c r="E62" i="19"/>
  <c r="I59" i="19"/>
  <c r="E89" i="21"/>
  <c r="G84" i="21"/>
  <c r="H79" i="19"/>
  <c r="H73" i="19"/>
  <c r="G82" i="21"/>
  <c r="I72" i="20"/>
  <c r="E89" i="20"/>
  <c r="G84" i="20"/>
  <c r="F89" i="20" s="1"/>
  <c r="F62" i="19"/>
  <c r="H56" i="19"/>
  <c r="K53" i="21"/>
  <c r="J59" i="21" s="1"/>
  <c r="J100" i="21"/>
  <c r="I81" i="20"/>
  <c r="I54" i="19"/>
  <c r="G60" i="21"/>
  <c r="E87" i="20"/>
  <c r="G62" i="20"/>
  <c r="H86" i="19"/>
  <c r="M83" i="20"/>
  <c r="K88" i="20"/>
  <c r="P77" i="20"/>
  <c r="P78" i="20"/>
  <c r="P76" i="20"/>
  <c r="O55" i="20"/>
  <c r="Q74" i="20"/>
  <c r="R2" i="20"/>
  <c r="M61" i="20"/>
  <c r="Q77" i="21"/>
  <c r="Q78" i="21"/>
  <c r="Q76" i="21"/>
  <c r="R74" i="21"/>
  <c r="S2" i="21"/>
  <c r="P55" i="21"/>
  <c r="O61" i="21" s="1"/>
  <c r="N83" i="21"/>
  <c r="N61" i="21"/>
  <c r="L88" i="21"/>
  <c r="O55" i="19"/>
  <c r="P77" i="19"/>
  <c r="P78" i="19"/>
  <c r="P76" i="19"/>
  <c r="M83" i="19"/>
  <c r="Q74" i="19"/>
  <c r="R2" i="19"/>
  <c r="M61" i="19"/>
  <c r="K88" i="19"/>
  <c r="K53" i="17"/>
  <c r="J59" i="17" s="1"/>
  <c r="J100" i="17"/>
  <c r="F62" i="17"/>
  <c r="H56" i="17"/>
  <c r="G62" i="17" s="1"/>
  <c r="J70" i="17"/>
  <c r="J70" i="18"/>
  <c r="H54" i="18"/>
  <c r="G60" i="18" s="1"/>
  <c r="K53" i="18"/>
  <c r="J59" i="18" s="1"/>
  <c r="J100" i="18"/>
  <c r="H82" i="18"/>
  <c r="I82" i="18" s="1"/>
  <c r="F60" i="17"/>
  <c r="G60" i="17"/>
  <c r="I54" i="17"/>
  <c r="J54" i="17" s="1"/>
  <c r="I56" i="18"/>
  <c r="H62" i="18" s="1"/>
  <c r="H84" i="18"/>
  <c r="G89" i="18" s="1"/>
  <c r="P78" i="13"/>
  <c r="P76" i="13"/>
  <c r="P77" i="13"/>
  <c r="G87" i="17"/>
  <c r="I82" i="17"/>
  <c r="I79" i="18"/>
  <c r="I73" i="18"/>
  <c r="J24" i="17"/>
  <c r="I101" i="17"/>
  <c r="J24" i="18"/>
  <c r="I101" i="18"/>
  <c r="F60" i="18"/>
  <c r="I59" i="17"/>
  <c r="I59" i="18"/>
  <c r="I86" i="18"/>
  <c r="F87" i="18"/>
  <c r="I72" i="17"/>
  <c r="J81" i="17"/>
  <c r="I86" i="17" s="1"/>
  <c r="H79" i="17"/>
  <c r="H84" i="17" s="1"/>
  <c r="H73" i="17"/>
  <c r="M83" i="18"/>
  <c r="P77" i="18"/>
  <c r="P78" i="18"/>
  <c r="P76" i="18"/>
  <c r="O55" i="18"/>
  <c r="Q74" i="18"/>
  <c r="R2" i="18"/>
  <c r="K88" i="18"/>
  <c r="M61" i="18"/>
  <c r="R74" i="17"/>
  <c r="S2" i="17"/>
  <c r="O55" i="17"/>
  <c r="M61" i="17"/>
  <c r="Q77" i="17"/>
  <c r="Q78" i="17"/>
  <c r="Q76" i="17"/>
  <c r="J70" i="13"/>
  <c r="F87" i="13"/>
  <c r="H82" i="13"/>
  <c r="G87" i="13" s="1"/>
  <c r="F84" i="13"/>
  <c r="E89" i="13" s="1"/>
  <c r="H56" i="13"/>
  <c r="I56" i="13" s="1"/>
  <c r="I81" i="13"/>
  <c r="I59" i="13"/>
  <c r="K53" i="13"/>
  <c r="J59" i="13" s="1"/>
  <c r="J100" i="13"/>
  <c r="J24" i="13"/>
  <c r="I101" i="13"/>
  <c r="I54" i="13"/>
  <c r="H60" i="13" s="1"/>
  <c r="I72" i="13"/>
  <c r="M55" i="13"/>
  <c r="H79" i="13"/>
  <c r="H73" i="13"/>
  <c r="Q74" i="13"/>
  <c r="R2" i="13"/>
  <c r="O83" i="13"/>
  <c r="E49" i="5"/>
  <c r="E50" i="5" s="1"/>
  <c r="F24" i="5"/>
  <c r="F47" i="5" s="1"/>
  <c r="F49" i="5" s="1"/>
  <c r="H23" i="5"/>
  <c r="G109" i="12"/>
  <c r="H28" i="5"/>
  <c r="G29" i="5" s="1"/>
  <c r="J23" i="12"/>
  <c r="I100" i="12"/>
  <c r="G83" i="12"/>
  <c r="F88" i="12" s="1"/>
  <c r="L82" i="12"/>
  <c r="K87" i="12" s="1"/>
  <c r="J80" i="12"/>
  <c r="I85" i="12" s="1"/>
  <c r="E88" i="12"/>
  <c r="J87" i="12"/>
  <c r="G81" i="12"/>
  <c r="F86" i="12" s="1"/>
  <c r="H85" i="12"/>
  <c r="H55" i="12"/>
  <c r="G61" i="12" s="1"/>
  <c r="K52" i="12"/>
  <c r="K99" i="12" s="1"/>
  <c r="I53" i="12"/>
  <c r="H59" i="12" s="1"/>
  <c r="I58" i="12"/>
  <c r="F61" i="12"/>
  <c r="M54" i="12"/>
  <c r="L60" i="12" s="1"/>
  <c r="K60" i="12"/>
  <c r="G59" i="12"/>
  <c r="J69" i="12"/>
  <c r="J76" i="12" s="1"/>
  <c r="K16" i="3"/>
  <c r="J17" i="3" s="1"/>
  <c r="J40" i="3"/>
  <c r="I41" i="3" s="1"/>
  <c r="K35" i="3"/>
  <c r="I36" i="3"/>
  <c r="L35" i="2"/>
  <c r="J36" i="2"/>
  <c r="L14" i="2"/>
  <c r="K20" i="5"/>
  <c r="K21" i="5"/>
  <c r="K26" i="5"/>
  <c r="K19" i="5"/>
  <c r="L26" i="5"/>
  <c r="L10" i="5"/>
  <c r="L9" i="5"/>
  <c r="L8" i="5"/>
  <c r="J11" i="5"/>
  <c r="K36" i="24" l="1"/>
  <c r="M83" i="17"/>
  <c r="L88" i="17" s="1"/>
  <c r="I72" i="12"/>
  <c r="N16" i="24"/>
  <c r="O35" i="24"/>
  <c r="N40" i="24"/>
  <c r="L17" i="24"/>
  <c r="L41" i="24"/>
  <c r="M81" i="18"/>
  <c r="L86" i="18" s="1"/>
  <c r="J54" i="19"/>
  <c r="F89" i="21"/>
  <c r="H84" i="21"/>
  <c r="G89" i="21" s="1"/>
  <c r="J72" i="20"/>
  <c r="J54" i="20"/>
  <c r="I60" i="20" s="1"/>
  <c r="L70" i="21"/>
  <c r="L72" i="21" s="1"/>
  <c r="L70" i="19"/>
  <c r="L72" i="19" s="1"/>
  <c r="L70" i="20"/>
  <c r="L72" i="20" s="1"/>
  <c r="I56" i="19"/>
  <c r="H82" i="21"/>
  <c r="G87" i="21" s="1"/>
  <c r="K81" i="19"/>
  <c r="L53" i="19"/>
  <c r="K59" i="19" s="1"/>
  <c r="K100" i="19"/>
  <c r="J62" i="21"/>
  <c r="L56" i="21"/>
  <c r="K62" i="21" s="1"/>
  <c r="J81" i="20"/>
  <c r="K81" i="20" s="1"/>
  <c r="I79" i="21"/>
  <c r="I73" i="21"/>
  <c r="J79" i="21"/>
  <c r="J73" i="21"/>
  <c r="F89" i="19"/>
  <c r="H84" i="19"/>
  <c r="H60" i="20"/>
  <c r="K86" i="21"/>
  <c r="G62" i="19"/>
  <c r="F87" i="21"/>
  <c r="I86" i="19"/>
  <c r="I62" i="21"/>
  <c r="L53" i="20"/>
  <c r="K59" i="20" s="1"/>
  <c r="K100" i="20"/>
  <c r="K24" i="21"/>
  <c r="J101" i="21"/>
  <c r="H82" i="20"/>
  <c r="G87" i="20" s="1"/>
  <c r="H82" i="19"/>
  <c r="K24" i="20"/>
  <c r="J101" i="20"/>
  <c r="J101" i="19"/>
  <c r="K24" i="19"/>
  <c r="J54" i="21"/>
  <c r="I60" i="21" s="1"/>
  <c r="K70" i="20"/>
  <c r="K70" i="21"/>
  <c r="K72" i="21" s="1"/>
  <c r="K70" i="19"/>
  <c r="K72" i="19" s="1"/>
  <c r="L53" i="21"/>
  <c r="K59" i="21" s="1"/>
  <c r="K100" i="21"/>
  <c r="I79" i="20"/>
  <c r="I73" i="20"/>
  <c r="J56" i="20"/>
  <c r="I62" i="20" s="1"/>
  <c r="J72" i="19"/>
  <c r="I79" i="19"/>
  <c r="I73" i="19"/>
  <c r="H60" i="19"/>
  <c r="H86" i="20"/>
  <c r="H84" i="20"/>
  <c r="J86" i="21"/>
  <c r="E89" i="19"/>
  <c r="P55" i="20"/>
  <c r="O61" i="20" s="1"/>
  <c r="N83" i="20"/>
  <c r="M88" i="20" s="1"/>
  <c r="Q78" i="20"/>
  <c r="Q77" i="20"/>
  <c r="Q76" i="20"/>
  <c r="N61" i="20"/>
  <c r="L88" i="20"/>
  <c r="R74" i="20"/>
  <c r="S2" i="20"/>
  <c r="R78" i="21"/>
  <c r="R77" i="21"/>
  <c r="R76" i="21"/>
  <c r="Q55" i="21"/>
  <c r="P61" i="21" s="1"/>
  <c r="S74" i="21"/>
  <c r="T2" i="21"/>
  <c r="N81" i="21"/>
  <c r="M86" i="21" s="1"/>
  <c r="O83" i="21"/>
  <c r="N88" i="21" s="1"/>
  <c r="M88" i="21"/>
  <c r="N83" i="19"/>
  <c r="L88" i="19"/>
  <c r="Q78" i="19"/>
  <c r="Q77" i="19"/>
  <c r="Q76" i="19"/>
  <c r="P55" i="19"/>
  <c r="O61" i="19" s="1"/>
  <c r="R74" i="19"/>
  <c r="S2" i="19"/>
  <c r="N61" i="19"/>
  <c r="G89" i="17"/>
  <c r="K24" i="17"/>
  <c r="J101" i="17"/>
  <c r="J82" i="17"/>
  <c r="I87" i="17" s="1"/>
  <c r="I60" i="17"/>
  <c r="K54" i="17"/>
  <c r="H87" i="18"/>
  <c r="J82" i="18"/>
  <c r="L53" i="17"/>
  <c r="K59" i="17" s="1"/>
  <c r="K100" i="17"/>
  <c r="Q78" i="13"/>
  <c r="Q76" i="13"/>
  <c r="Q77" i="13"/>
  <c r="I54" i="18"/>
  <c r="J54" i="18" s="1"/>
  <c r="I79" i="17"/>
  <c r="I84" i="17" s="1"/>
  <c r="H89" i="17" s="1"/>
  <c r="I73" i="17"/>
  <c r="K100" i="18"/>
  <c r="L53" i="18"/>
  <c r="J72" i="17"/>
  <c r="H87" i="17"/>
  <c r="H60" i="17"/>
  <c r="G87" i="18"/>
  <c r="K70" i="18"/>
  <c r="K72" i="18" s="1"/>
  <c r="K70" i="17"/>
  <c r="K81" i="17"/>
  <c r="I56" i="17"/>
  <c r="J56" i="17" s="1"/>
  <c r="L70" i="18"/>
  <c r="L72" i="18" s="1"/>
  <c r="L70" i="17"/>
  <c r="L72" i="17" s="1"/>
  <c r="J101" i="18"/>
  <c r="K24" i="18"/>
  <c r="I84" i="18"/>
  <c r="H89" i="18" s="1"/>
  <c r="J56" i="18"/>
  <c r="J72" i="18"/>
  <c r="Q78" i="18"/>
  <c r="Q77" i="18"/>
  <c r="Q76" i="18"/>
  <c r="P55" i="18"/>
  <c r="O61" i="18" s="1"/>
  <c r="R74" i="18"/>
  <c r="S2" i="18"/>
  <c r="N61" i="18"/>
  <c r="N83" i="18"/>
  <c r="L88" i="18"/>
  <c r="P55" i="17"/>
  <c r="N61" i="17"/>
  <c r="R78" i="17"/>
  <c r="R77" i="17"/>
  <c r="R76" i="17"/>
  <c r="S74" i="17"/>
  <c r="T2" i="17"/>
  <c r="N55" i="13"/>
  <c r="K24" i="13"/>
  <c r="J101" i="13"/>
  <c r="K70" i="13"/>
  <c r="I79" i="13"/>
  <c r="I73" i="13"/>
  <c r="L53" i="13"/>
  <c r="K100" i="13"/>
  <c r="J81" i="13"/>
  <c r="H62" i="13"/>
  <c r="J56" i="13"/>
  <c r="I62" i="13" s="1"/>
  <c r="I82" i="13"/>
  <c r="L61" i="13"/>
  <c r="J54" i="13"/>
  <c r="I60" i="13" s="1"/>
  <c r="J72" i="13"/>
  <c r="H86" i="13"/>
  <c r="G62" i="13"/>
  <c r="L70" i="13"/>
  <c r="G84" i="13"/>
  <c r="P83" i="13"/>
  <c r="R74" i="13"/>
  <c r="S2" i="13"/>
  <c r="N88" i="13"/>
  <c r="G24" i="5"/>
  <c r="G47" i="5" s="1"/>
  <c r="G49" i="5" s="1"/>
  <c r="I23" i="5"/>
  <c r="F50" i="5"/>
  <c r="H109" i="12"/>
  <c r="I28" i="5"/>
  <c r="H29" i="5" s="1"/>
  <c r="K23" i="12"/>
  <c r="J100" i="12"/>
  <c r="H81" i="12"/>
  <c r="G86" i="12" s="1"/>
  <c r="K80" i="12"/>
  <c r="J85" i="12" s="1"/>
  <c r="M82" i="12"/>
  <c r="H83" i="12"/>
  <c r="G88" i="12" s="1"/>
  <c r="L52" i="12"/>
  <c r="I55" i="12"/>
  <c r="H61" i="12" s="1"/>
  <c r="J58" i="12"/>
  <c r="N54" i="12"/>
  <c r="J53" i="12"/>
  <c r="I59" i="12" s="1"/>
  <c r="J71" i="12"/>
  <c r="L69" i="12"/>
  <c r="K69" i="12"/>
  <c r="L16" i="3"/>
  <c r="K17" i="3" s="1"/>
  <c r="K40" i="3"/>
  <c r="J41" i="3" s="1"/>
  <c r="L35" i="3"/>
  <c r="K36" i="3" s="1"/>
  <c r="J36" i="3"/>
  <c r="M35" i="2"/>
  <c r="K36" i="2"/>
  <c r="M14" i="2"/>
  <c r="L20" i="5"/>
  <c r="M26" i="5"/>
  <c r="L21" i="5"/>
  <c r="L19" i="5"/>
  <c r="K22" i="5"/>
  <c r="M10" i="5"/>
  <c r="M9" i="5"/>
  <c r="M8" i="5"/>
  <c r="K11" i="5"/>
  <c r="I12" i="5"/>
  <c r="N83" i="17" l="1"/>
  <c r="O83" i="17" s="1"/>
  <c r="N88" i="17" s="1"/>
  <c r="O40" i="24"/>
  <c r="O16" i="24"/>
  <c r="N17" i="24" s="1"/>
  <c r="M41" i="24"/>
  <c r="M17" i="24"/>
  <c r="P35" i="24"/>
  <c r="N36" i="24"/>
  <c r="N81" i="18"/>
  <c r="O81" i="18" s="1"/>
  <c r="N86" i="18" s="1"/>
  <c r="G89" i="20"/>
  <c r="I84" i="20"/>
  <c r="K72" i="20"/>
  <c r="I82" i="19"/>
  <c r="L24" i="21"/>
  <c r="K101" i="21"/>
  <c r="J86" i="20"/>
  <c r="L81" i="20"/>
  <c r="K86" i="20" s="1"/>
  <c r="L81" i="19"/>
  <c r="J56" i="19"/>
  <c r="I62" i="19" s="1"/>
  <c r="K54" i="19"/>
  <c r="J60" i="19" s="1"/>
  <c r="M70" i="21"/>
  <c r="M70" i="20"/>
  <c r="M72" i="20" s="1"/>
  <c r="M70" i="19"/>
  <c r="K56" i="20"/>
  <c r="K79" i="21"/>
  <c r="K73" i="21"/>
  <c r="L24" i="19"/>
  <c r="K101" i="19"/>
  <c r="M53" i="20"/>
  <c r="L59" i="20" s="1"/>
  <c r="L100" i="20"/>
  <c r="I84" i="19"/>
  <c r="H89" i="19" s="1"/>
  <c r="L73" i="21"/>
  <c r="L79" i="21"/>
  <c r="J79" i="20"/>
  <c r="J73" i="20"/>
  <c r="G87" i="19"/>
  <c r="I86" i="20"/>
  <c r="J86" i="19"/>
  <c r="H62" i="19"/>
  <c r="I60" i="19"/>
  <c r="J79" i="19"/>
  <c r="J73" i="19"/>
  <c r="K79" i="19"/>
  <c r="K73" i="19"/>
  <c r="K54" i="21"/>
  <c r="J60" i="21" s="1"/>
  <c r="L24" i="20"/>
  <c r="K101" i="20"/>
  <c r="I82" i="20"/>
  <c r="H87" i="20" s="1"/>
  <c r="M56" i="21"/>
  <c r="L62" i="21" s="1"/>
  <c r="M53" i="19"/>
  <c r="L59" i="19" s="1"/>
  <c r="L100" i="19"/>
  <c r="I82" i="21"/>
  <c r="J82" i="21" s="1"/>
  <c r="L73" i="19"/>
  <c r="L79" i="19"/>
  <c r="G89" i="19"/>
  <c r="M53" i="21"/>
  <c r="L59" i="21" s="1"/>
  <c r="L100" i="21"/>
  <c r="L73" i="20"/>
  <c r="L79" i="20"/>
  <c r="K54" i="20"/>
  <c r="J60" i="20" s="1"/>
  <c r="I84" i="21"/>
  <c r="O83" i="20"/>
  <c r="N88" i="20" s="1"/>
  <c r="R78" i="20"/>
  <c r="R77" i="20"/>
  <c r="R76" i="20"/>
  <c r="S74" i="20"/>
  <c r="T2" i="20"/>
  <c r="Q55" i="20"/>
  <c r="S78" i="21"/>
  <c r="S77" i="21"/>
  <c r="S76" i="21"/>
  <c r="P83" i="21"/>
  <c r="O81" i="21"/>
  <c r="N86" i="21" s="1"/>
  <c r="T74" i="21"/>
  <c r="U2" i="21"/>
  <c r="R55" i="21"/>
  <c r="Q61" i="21" s="1"/>
  <c r="R77" i="19"/>
  <c r="R78" i="19"/>
  <c r="R76" i="19"/>
  <c r="S74" i="19"/>
  <c r="T2" i="19"/>
  <c r="Q55" i="19"/>
  <c r="P61" i="19" s="1"/>
  <c r="O83" i="19"/>
  <c r="N88" i="19" s="1"/>
  <c r="M88" i="19"/>
  <c r="R76" i="13"/>
  <c r="R78" i="13"/>
  <c r="R77" i="13"/>
  <c r="L81" i="17"/>
  <c r="K86" i="17" s="1"/>
  <c r="K56" i="18"/>
  <c r="I62" i="17"/>
  <c r="K56" i="17"/>
  <c r="K73" i="18"/>
  <c r="K79" i="18"/>
  <c r="I60" i="18"/>
  <c r="K54" i="18"/>
  <c r="L24" i="18"/>
  <c r="K101" i="18"/>
  <c r="K72" i="17"/>
  <c r="L100" i="18"/>
  <c r="M53" i="18"/>
  <c r="L59" i="18" s="1"/>
  <c r="I87" i="18"/>
  <c r="K82" i="18"/>
  <c r="K82" i="17"/>
  <c r="J87" i="17" s="1"/>
  <c r="I62" i="18"/>
  <c r="H62" i="17"/>
  <c r="H60" i="18"/>
  <c r="L73" i="17"/>
  <c r="L79" i="17"/>
  <c r="J79" i="17"/>
  <c r="J84" i="17" s="1"/>
  <c r="J73" i="17"/>
  <c r="J60" i="17"/>
  <c r="L54" i="17"/>
  <c r="M70" i="18"/>
  <c r="M72" i="18" s="1"/>
  <c r="M70" i="17"/>
  <c r="M72" i="17" s="1"/>
  <c r="J79" i="18"/>
  <c r="J84" i="18" s="1"/>
  <c r="I89" i="18" s="1"/>
  <c r="J73" i="18"/>
  <c r="L73" i="18"/>
  <c r="L79" i="18"/>
  <c r="M53" i="17"/>
  <c r="L59" i="17" s="1"/>
  <c r="L100" i="17"/>
  <c r="L24" i="17"/>
  <c r="K101" i="17"/>
  <c r="J86" i="17"/>
  <c r="K59" i="18"/>
  <c r="R77" i="18"/>
  <c r="R78" i="18"/>
  <c r="R76" i="18"/>
  <c r="O83" i="18"/>
  <c r="N88" i="18" s="1"/>
  <c r="S74" i="18"/>
  <c r="T2" i="18"/>
  <c r="Q55" i="18"/>
  <c r="M88" i="18"/>
  <c r="Q55" i="17"/>
  <c r="P61" i="17" s="1"/>
  <c r="O61" i="17"/>
  <c r="S78" i="17"/>
  <c r="S77" i="17"/>
  <c r="S76" i="17"/>
  <c r="T74" i="17"/>
  <c r="U2" i="17"/>
  <c r="H84" i="13"/>
  <c r="G89" i="13" s="1"/>
  <c r="J82" i="13"/>
  <c r="I87" i="13" s="1"/>
  <c r="O55" i="13"/>
  <c r="N61" i="13" s="1"/>
  <c r="J79" i="13"/>
  <c r="J73" i="13"/>
  <c r="F89" i="13"/>
  <c r="H87" i="13"/>
  <c r="M61" i="13"/>
  <c r="K81" i="13"/>
  <c r="L72" i="13"/>
  <c r="K59" i="13"/>
  <c r="M53" i="13"/>
  <c r="L100" i="13"/>
  <c r="L24" i="13"/>
  <c r="K101" i="13"/>
  <c r="M70" i="13"/>
  <c r="K54" i="13"/>
  <c r="L54" i="13" s="1"/>
  <c r="K56" i="13"/>
  <c r="J62" i="13" s="1"/>
  <c r="K72" i="13"/>
  <c r="I86" i="13"/>
  <c r="Q83" i="13"/>
  <c r="P88" i="13" s="1"/>
  <c r="O88" i="13"/>
  <c r="S74" i="13"/>
  <c r="T2" i="13"/>
  <c r="G50" i="5"/>
  <c r="H24" i="5"/>
  <c r="H47" i="5" s="1"/>
  <c r="H49" i="5" s="1"/>
  <c r="I109" i="12"/>
  <c r="K58" i="12"/>
  <c r="L99" i="12"/>
  <c r="L23" i="12"/>
  <c r="K100" i="12"/>
  <c r="I83" i="12"/>
  <c r="H88" i="12" s="1"/>
  <c r="N82" i="12"/>
  <c r="L80" i="12"/>
  <c r="I81" i="12"/>
  <c r="H86" i="12" s="1"/>
  <c r="L87" i="12"/>
  <c r="L71" i="12"/>
  <c r="L76" i="12"/>
  <c r="K71" i="12"/>
  <c r="K76" i="12"/>
  <c r="J72" i="12"/>
  <c r="J78" i="12"/>
  <c r="O54" i="12"/>
  <c r="M52" i="12"/>
  <c r="M99" i="12" s="1"/>
  <c r="J55" i="12"/>
  <c r="M60" i="12"/>
  <c r="K53" i="12"/>
  <c r="M69" i="12"/>
  <c r="M16" i="3"/>
  <c r="L17" i="3" s="1"/>
  <c r="L40" i="3"/>
  <c r="K41" i="3" s="1"/>
  <c r="M35" i="3"/>
  <c r="L36" i="3" s="1"/>
  <c r="N35" i="2"/>
  <c r="M36" i="2" s="1"/>
  <c r="L36" i="2"/>
  <c r="N14" i="2"/>
  <c r="M20" i="5"/>
  <c r="N26" i="5"/>
  <c r="M21" i="5"/>
  <c r="M19" i="5"/>
  <c r="L22" i="5"/>
  <c r="N9" i="5"/>
  <c r="N8" i="5"/>
  <c r="N10" i="5"/>
  <c r="J23" i="5"/>
  <c r="J27" i="5"/>
  <c r="J28" i="5" s="1"/>
  <c r="I29" i="5" s="1"/>
  <c r="L11" i="5"/>
  <c r="K12" i="5" s="1"/>
  <c r="J12" i="5"/>
  <c r="M88" i="17" l="1"/>
  <c r="P40" i="24"/>
  <c r="O41" i="24" s="1"/>
  <c r="N41" i="24"/>
  <c r="Q35" i="24"/>
  <c r="P36" i="24" s="1"/>
  <c r="P16" i="24"/>
  <c r="O36" i="24"/>
  <c r="M86" i="18"/>
  <c r="N70" i="21"/>
  <c r="N72" i="21" s="1"/>
  <c r="N70" i="19"/>
  <c r="N72" i="19" s="1"/>
  <c r="N70" i="20"/>
  <c r="I87" i="21"/>
  <c r="K82" i="21"/>
  <c r="J87" i="21" s="1"/>
  <c r="M72" i="19"/>
  <c r="M81" i="19"/>
  <c r="N81" i="19" s="1"/>
  <c r="H89" i="21"/>
  <c r="J84" i="21"/>
  <c r="I89" i="21" s="1"/>
  <c r="N53" i="19"/>
  <c r="M59" i="19" s="1"/>
  <c r="M100" i="19"/>
  <c r="J82" i="20"/>
  <c r="I87" i="20" s="1"/>
  <c r="L101" i="19"/>
  <c r="M24" i="19"/>
  <c r="L56" i="20"/>
  <c r="J82" i="19"/>
  <c r="I87" i="19" s="1"/>
  <c r="H87" i="21"/>
  <c r="K86" i="19"/>
  <c r="J84" i="20"/>
  <c r="L54" i="19"/>
  <c r="K60" i="19" s="1"/>
  <c r="N53" i="21"/>
  <c r="M59" i="21" s="1"/>
  <c r="M100" i="21"/>
  <c r="L54" i="21"/>
  <c r="M72" i="21"/>
  <c r="M81" i="20"/>
  <c r="N81" i="20" s="1"/>
  <c r="J62" i="20"/>
  <c r="H87" i="19"/>
  <c r="H89" i="20"/>
  <c r="L54" i="20"/>
  <c r="K60" i="20" s="1"/>
  <c r="N56" i="21"/>
  <c r="O56" i="21" s="1"/>
  <c r="L101" i="20"/>
  <c r="M24" i="20"/>
  <c r="J84" i="19"/>
  <c r="N53" i="20"/>
  <c r="M59" i="20" s="1"/>
  <c r="M100" i="20"/>
  <c r="M73" i="20"/>
  <c r="M79" i="20"/>
  <c r="K56" i="19"/>
  <c r="J62" i="19" s="1"/>
  <c r="M24" i="21"/>
  <c r="L101" i="21"/>
  <c r="K73" i="20"/>
  <c r="K79" i="20"/>
  <c r="R55" i="20"/>
  <c r="S78" i="20"/>
  <c r="S77" i="20"/>
  <c r="S76" i="20"/>
  <c r="T74" i="20"/>
  <c r="U2" i="20"/>
  <c r="P61" i="20"/>
  <c r="P83" i="20"/>
  <c r="O88" i="20" s="1"/>
  <c r="P81" i="21"/>
  <c r="O86" i="21" s="1"/>
  <c r="T78" i="21"/>
  <c r="T77" i="21"/>
  <c r="T76" i="21"/>
  <c r="Q83" i="21"/>
  <c r="P88" i="21" s="1"/>
  <c r="S55" i="21"/>
  <c r="R61" i="21" s="1"/>
  <c r="U74" i="21"/>
  <c r="V2" i="21"/>
  <c r="V74" i="21" s="1"/>
  <c r="O88" i="21"/>
  <c r="S77" i="19"/>
  <c r="S78" i="19"/>
  <c r="S76" i="19"/>
  <c r="P83" i="19"/>
  <c r="T74" i="19"/>
  <c r="U2" i="19"/>
  <c r="R55" i="19"/>
  <c r="M73" i="18"/>
  <c r="M79" i="18"/>
  <c r="K79" i="17"/>
  <c r="K84" i="17" s="1"/>
  <c r="J89" i="17" s="1"/>
  <c r="K73" i="17"/>
  <c r="J62" i="17"/>
  <c r="L56" i="17"/>
  <c r="M56" i="17" s="1"/>
  <c r="S78" i="13"/>
  <c r="S76" i="13"/>
  <c r="S77" i="13"/>
  <c r="M24" i="17"/>
  <c r="L101" i="17"/>
  <c r="M73" i="17"/>
  <c r="M79" i="17"/>
  <c r="I89" i="17"/>
  <c r="L56" i="18"/>
  <c r="N70" i="18"/>
  <c r="N72" i="18" s="1"/>
  <c r="N70" i="17"/>
  <c r="N72" i="17" s="1"/>
  <c r="M100" i="17"/>
  <c r="N53" i="17"/>
  <c r="M59" i="17" s="1"/>
  <c r="K84" i="18"/>
  <c r="J89" i="18" s="1"/>
  <c r="J87" i="18"/>
  <c r="L82" i="18"/>
  <c r="L101" i="18"/>
  <c r="M24" i="18"/>
  <c r="J62" i="18"/>
  <c r="J60" i="18"/>
  <c r="L54" i="18"/>
  <c r="K60" i="18" s="1"/>
  <c r="K60" i="17"/>
  <c r="M54" i="17"/>
  <c r="L82" i="17"/>
  <c r="K87" i="17" s="1"/>
  <c r="N53" i="18"/>
  <c r="M59" i="18" s="1"/>
  <c r="M100" i="18"/>
  <c r="M81" i="17"/>
  <c r="L86" i="17" s="1"/>
  <c r="H50" i="5"/>
  <c r="T74" i="18"/>
  <c r="U2" i="18"/>
  <c r="R55" i="18"/>
  <c r="P81" i="18"/>
  <c r="P83" i="18"/>
  <c r="P61" i="18"/>
  <c r="S77" i="18"/>
  <c r="S78" i="18"/>
  <c r="S76" i="18"/>
  <c r="T78" i="17"/>
  <c r="T77" i="17"/>
  <c r="T76" i="17"/>
  <c r="R55" i="17"/>
  <c r="Q61" i="17" s="1"/>
  <c r="U74" i="17"/>
  <c r="V2" i="17"/>
  <c r="V74" i="17" s="1"/>
  <c r="P83" i="17"/>
  <c r="L59" i="13"/>
  <c r="N53" i="13"/>
  <c r="M59" i="13" s="1"/>
  <c r="M100" i="13"/>
  <c r="K60" i="13"/>
  <c r="M54" i="13"/>
  <c r="L60" i="13" s="1"/>
  <c r="L101" i="13"/>
  <c r="M24" i="13"/>
  <c r="K73" i="13"/>
  <c r="K79" i="13"/>
  <c r="L81" i="13"/>
  <c r="M81" i="13" s="1"/>
  <c r="I84" i="13"/>
  <c r="H89" i="13" s="1"/>
  <c r="L56" i="13"/>
  <c r="M56" i="13" s="1"/>
  <c r="M72" i="13"/>
  <c r="J60" i="13"/>
  <c r="K82" i="13"/>
  <c r="N70" i="13"/>
  <c r="L73" i="13"/>
  <c r="L79" i="13"/>
  <c r="P55" i="13"/>
  <c r="O61" i="13" s="1"/>
  <c r="J86" i="13"/>
  <c r="T74" i="13"/>
  <c r="U2" i="13"/>
  <c r="R83" i="13"/>
  <c r="J109" i="12"/>
  <c r="M23" i="12"/>
  <c r="L100" i="12"/>
  <c r="M80" i="12"/>
  <c r="L85" i="12" s="1"/>
  <c r="O82" i="12"/>
  <c r="K85" i="12"/>
  <c r="J83" i="12"/>
  <c r="J81" i="12"/>
  <c r="M87" i="12"/>
  <c r="L72" i="12"/>
  <c r="L78" i="12"/>
  <c r="M71" i="12"/>
  <c r="M76" i="12"/>
  <c r="K72" i="12"/>
  <c r="K78" i="12"/>
  <c r="L53" i="12"/>
  <c r="P54" i="12"/>
  <c r="N52" i="12"/>
  <c r="N99" i="12" s="1"/>
  <c r="N60" i="12"/>
  <c r="K55" i="12"/>
  <c r="J61" i="12" s="1"/>
  <c r="J59" i="12"/>
  <c r="I61" i="12"/>
  <c r="L58" i="12"/>
  <c r="N69" i="12"/>
  <c r="M40" i="3"/>
  <c r="L41" i="3" s="1"/>
  <c r="N35" i="3"/>
  <c r="N16" i="3"/>
  <c r="O35" i="2"/>
  <c r="N36" i="2" s="1"/>
  <c r="O14" i="2"/>
  <c r="M22" i="5"/>
  <c r="O9" i="5"/>
  <c r="N20" i="5"/>
  <c r="O26" i="5"/>
  <c r="N21" i="5"/>
  <c r="N19" i="5"/>
  <c r="O10" i="5"/>
  <c r="I24" i="5"/>
  <c r="I47" i="5" s="1"/>
  <c r="O8" i="5"/>
  <c r="K23" i="5"/>
  <c r="K27" i="5"/>
  <c r="K28" i="5" s="1"/>
  <c r="J29" i="5" s="1"/>
  <c r="M11" i="5"/>
  <c r="L12" i="5" s="1"/>
  <c r="Q16" i="24" l="1"/>
  <c r="Q40" i="24"/>
  <c r="O17" i="24"/>
  <c r="R35" i="24"/>
  <c r="Q36" i="24" s="1"/>
  <c r="K84" i="19"/>
  <c r="M54" i="21"/>
  <c r="M56" i="20"/>
  <c r="N56" i="20" s="1"/>
  <c r="N73" i="21"/>
  <c r="N79" i="21"/>
  <c r="O53" i="20"/>
  <c r="N100" i="20"/>
  <c r="M54" i="20"/>
  <c r="N54" i="20" s="1"/>
  <c r="N73" i="19"/>
  <c r="N79" i="19"/>
  <c r="L86" i="20"/>
  <c r="K60" i="21"/>
  <c r="K62" i="20"/>
  <c r="L86" i="19"/>
  <c r="N24" i="21"/>
  <c r="M101" i="21"/>
  <c r="N62" i="21"/>
  <c r="P56" i="21"/>
  <c r="Q56" i="21" s="1"/>
  <c r="P62" i="21" s="1"/>
  <c r="M86" i="20"/>
  <c r="O81" i="20"/>
  <c r="K82" i="20"/>
  <c r="M86" i="19"/>
  <c r="O81" i="19"/>
  <c r="L82" i="21"/>
  <c r="K87" i="21" s="1"/>
  <c r="O70" i="20"/>
  <c r="O72" i="20" s="1"/>
  <c r="O70" i="21"/>
  <c r="O72" i="21" s="1"/>
  <c r="O70" i="19"/>
  <c r="O72" i="19" s="1"/>
  <c r="L56" i="19"/>
  <c r="N24" i="20"/>
  <c r="M101" i="20"/>
  <c r="M73" i="21"/>
  <c r="M79" i="21"/>
  <c r="O53" i="21"/>
  <c r="N59" i="21" s="1"/>
  <c r="N100" i="21"/>
  <c r="I89" i="20"/>
  <c r="K84" i="20"/>
  <c r="J89" i="20" s="1"/>
  <c r="K82" i="19"/>
  <c r="N100" i="19"/>
  <c r="O53" i="19"/>
  <c r="N59" i="19" s="1"/>
  <c r="M73" i="19"/>
  <c r="M79" i="19"/>
  <c r="N72" i="20"/>
  <c r="M54" i="19"/>
  <c r="L60" i="19" s="1"/>
  <c r="M101" i="19"/>
  <c r="N24" i="19"/>
  <c r="K84" i="21"/>
  <c r="J89" i="21" s="1"/>
  <c r="I89" i="19"/>
  <c r="M62" i="21"/>
  <c r="T78" i="20"/>
  <c r="T77" i="20"/>
  <c r="T76" i="20"/>
  <c r="S55" i="20"/>
  <c r="R61" i="20" s="1"/>
  <c r="U74" i="20"/>
  <c r="V2" i="20"/>
  <c r="V74" i="20" s="1"/>
  <c r="Q61" i="20"/>
  <c r="Q83" i="20"/>
  <c r="P88" i="20" s="1"/>
  <c r="U77" i="21"/>
  <c r="U78" i="21"/>
  <c r="U76" i="21"/>
  <c r="T55" i="21"/>
  <c r="S61" i="21" s="1"/>
  <c r="R83" i="21"/>
  <c r="V78" i="21"/>
  <c r="V77" i="21"/>
  <c r="V76" i="21"/>
  <c r="Q81" i="21"/>
  <c r="P86" i="21" s="1"/>
  <c r="U74" i="19"/>
  <c r="V2" i="19"/>
  <c r="V74" i="19" s="1"/>
  <c r="S55" i="19"/>
  <c r="Q83" i="19"/>
  <c r="Q61" i="19"/>
  <c r="O88" i="19"/>
  <c r="T77" i="19"/>
  <c r="T78" i="19"/>
  <c r="T76" i="19"/>
  <c r="N81" i="17"/>
  <c r="O53" i="18"/>
  <c r="N59" i="18" s="1"/>
  <c r="N100" i="18"/>
  <c r="N54" i="17"/>
  <c r="K87" i="18"/>
  <c r="M82" i="18"/>
  <c r="N73" i="18"/>
  <c r="N79" i="18"/>
  <c r="M56" i="18"/>
  <c r="N56" i="18" s="1"/>
  <c r="L62" i="17"/>
  <c r="N56" i="17"/>
  <c r="O53" i="17"/>
  <c r="N100" i="17"/>
  <c r="O70" i="18"/>
  <c r="O72" i="18" s="1"/>
  <c r="O70" i="17"/>
  <c r="O72" i="17" s="1"/>
  <c r="T78" i="13"/>
  <c r="T76" i="13"/>
  <c r="T77" i="13"/>
  <c r="M54" i="18"/>
  <c r="L60" i="18" s="1"/>
  <c r="L84" i="18"/>
  <c r="M84" i="18" s="1"/>
  <c r="N73" i="17"/>
  <c r="N79" i="17"/>
  <c r="N24" i="17"/>
  <c r="M101" i="17"/>
  <c r="L60" i="17"/>
  <c r="K62" i="18"/>
  <c r="K62" i="17"/>
  <c r="M82" i="17"/>
  <c r="L87" i="17" s="1"/>
  <c r="N24" i="18"/>
  <c r="M101" i="18"/>
  <c r="L84" i="17"/>
  <c r="T77" i="18"/>
  <c r="T78" i="18"/>
  <c r="T76" i="18"/>
  <c r="Q83" i="18"/>
  <c r="P88" i="18" s="1"/>
  <c r="U74" i="18"/>
  <c r="V2" i="18"/>
  <c r="V74" i="18" s="1"/>
  <c r="Q81" i="18"/>
  <c r="S55" i="18"/>
  <c r="O88" i="18"/>
  <c r="O86" i="18"/>
  <c r="Q61" i="18"/>
  <c r="Q83" i="17"/>
  <c r="U78" i="17"/>
  <c r="U77" i="17"/>
  <c r="U76" i="17"/>
  <c r="V78" i="17"/>
  <c r="V77" i="17"/>
  <c r="V76" i="17"/>
  <c r="S55" i="17"/>
  <c r="O88" i="17"/>
  <c r="K86" i="13"/>
  <c r="K62" i="13"/>
  <c r="N72" i="13"/>
  <c r="J87" i="13"/>
  <c r="L82" i="13"/>
  <c r="K87" i="13" s="1"/>
  <c r="N24" i="13"/>
  <c r="M101" i="13"/>
  <c r="O70" i="13"/>
  <c r="N54" i="13"/>
  <c r="O54" i="13" s="1"/>
  <c r="O53" i="13"/>
  <c r="N59" i="13" s="1"/>
  <c r="N100" i="13"/>
  <c r="Q55" i="13"/>
  <c r="M73" i="13"/>
  <c r="M79" i="13"/>
  <c r="L62" i="13"/>
  <c r="N56" i="13"/>
  <c r="J84" i="13"/>
  <c r="K84" i="13" s="1"/>
  <c r="L86" i="13"/>
  <c r="N81" i="13"/>
  <c r="M86" i="13" s="1"/>
  <c r="S83" i="13"/>
  <c r="R88" i="13" s="1"/>
  <c r="U74" i="13"/>
  <c r="V2" i="13"/>
  <c r="V74" i="13" s="1"/>
  <c r="Q88" i="13"/>
  <c r="I49" i="5"/>
  <c r="I50" i="5" s="1"/>
  <c r="K109" i="12"/>
  <c r="K83" i="12"/>
  <c r="J88" i="12" s="1"/>
  <c r="N23" i="12"/>
  <c r="M100" i="12"/>
  <c r="P82" i="12"/>
  <c r="K81" i="12"/>
  <c r="J86" i="12" s="1"/>
  <c r="I88" i="12"/>
  <c r="N80" i="12"/>
  <c r="I86" i="12"/>
  <c r="N87" i="12"/>
  <c r="N71" i="12"/>
  <c r="N76" i="12"/>
  <c r="M72" i="12"/>
  <c r="M78" i="12"/>
  <c r="Q54" i="12"/>
  <c r="M53" i="12"/>
  <c r="O52" i="12"/>
  <c r="O99" i="12" s="1"/>
  <c r="O60" i="12"/>
  <c r="K59" i="12"/>
  <c r="L55" i="12"/>
  <c r="M58" i="12"/>
  <c r="O69" i="12"/>
  <c r="O16" i="3"/>
  <c r="N40" i="3"/>
  <c r="M41" i="3" s="1"/>
  <c r="O35" i="3"/>
  <c r="N36" i="3" s="1"/>
  <c r="M36" i="3"/>
  <c r="M17" i="3"/>
  <c r="P35" i="2"/>
  <c r="O36" i="2" s="1"/>
  <c r="P14" i="2"/>
  <c r="O20" i="5"/>
  <c r="P26" i="5"/>
  <c r="N22" i="5"/>
  <c r="O19" i="5"/>
  <c r="O21" i="5"/>
  <c r="P9" i="5"/>
  <c r="J24" i="5"/>
  <c r="J47" i="5" s="1"/>
  <c r="J49" i="5" s="1"/>
  <c r="P8" i="5"/>
  <c r="P10" i="5"/>
  <c r="L23" i="5"/>
  <c r="L27" i="5"/>
  <c r="L28" i="5" s="1"/>
  <c r="N11" i="5"/>
  <c r="W78" i="21" l="1"/>
  <c r="W76" i="17"/>
  <c r="W77" i="21"/>
  <c r="R16" i="24"/>
  <c r="P17" i="24"/>
  <c r="S35" i="24"/>
  <c r="R36" i="24" s="1"/>
  <c r="R40" i="24"/>
  <c r="P41" i="24"/>
  <c r="K89" i="18"/>
  <c r="O62" i="21"/>
  <c r="R56" i="21"/>
  <c r="Q62" i="21" s="1"/>
  <c r="L82" i="19"/>
  <c r="M56" i="19"/>
  <c r="P81" i="19"/>
  <c r="N86" i="20"/>
  <c r="P81" i="20"/>
  <c r="Q81" i="20" s="1"/>
  <c r="P86" i="20" s="1"/>
  <c r="M60" i="20"/>
  <c r="O54" i="20"/>
  <c r="N60" i="20" s="1"/>
  <c r="P70" i="21"/>
  <c r="P72" i="21" s="1"/>
  <c r="P70" i="19"/>
  <c r="P72" i="19" s="1"/>
  <c r="P70" i="20"/>
  <c r="P72" i="20" s="1"/>
  <c r="N73" i="20"/>
  <c r="N79" i="20"/>
  <c r="N101" i="20"/>
  <c r="O24" i="20"/>
  <c r="O73" i="21"/>
  <c r="O79" i="21"/>
  <c r="L82" i="20"/>
  <c r="K87" i="20" s="1"/>
  <c r="N59" i="20"/>
  <c r="P53" i="20"/>
  <c r="O100" i="20"/>
  <c r="M62" i="20"/>
  <c r="O56" i="20"/>
  <c r="L84" i="19"/>
  <c r="K89" i="19" s="1"/>
  <c r="J87" i="19"/>
  <c r="N86" i="19"/>
  <c r="O73" i="20"/>
  <c r="O79" i="20"/>
  <c r="N54" i="21"/>
  <c r="O54" i="21" s="1"/>
  <c r="O24" i="19"/>
  <c r="N101" i="19"/>
  <c r="L84" i="20"/>
  <c r="M84" i="20" s="1"/>
  <c r="O73" i="19"/>
  <c r="O79" i="19"/>
  <c r="M82" i="21"/>
  <c r="J87" i="20"/>
  <c r="L62" i="20"/>
  <c r="J89" i="19"/>
  <c r="L84" i="21"/>
  <c r="N54" i="19"/>
  <c r="O54" i="19" s="1"/>
  <c r="O100" i="19"/>
  <c r="P53" i="19"/>
  <c r="O100" i="21"/>
  <c r="P53" i="21"/>
  <c r="O24" i="21"/>
  <c r="N101" i="21"/>
  <c r="W77" i="17"/>
  <c r="K62" i="19"/>
  <c r="L60" i="20"/>
  <c r="L60" i="21"/>
  <c r="R83" i="20"/>
  <c r="U78" i="20"/>
  <c r="U77" i="20"/>
  <c r="U76" i="20"/>
  <c r="T55" i="20"/>
  <c r="S61" i="20" s="1"/>
  <c r="V77" i="20"/>
  <c r="V78" i="20"/>
  <c r="V76" i="20"/>
  <c r="W76" i="21"/>
  <c r="U55" i="21"/>
  <c r="R81" i="21"/>
  <c r="Q86" i="21" s="1"/>
  <c r="S83" i="21"/>
  <c r="R88" i="21" s="1"/>
  <c r="Q88" i="21"/>
  <c r="R83" i="19"/>
  <c r="T55" i="19"/>
  <c r="S61" i="19" s="1"/>
  <c r="P88" i="19"/>
  <c r="R61" i="19"/>
  <c r="U77" i="19"/>
  <c r="U78" i="19"/>
  <c r="U76" i="19"/>
  <c r="V78" i="19"/>
  <c r="V77" i="19"/>
  <c r="V76" i="19"/>
  <c r="M84" i="17"/>
  <c r="L89" i="17" s="1"/>
  <c r="O73" i="17"/>
  <c r="O79" i="17"/>
  <c r="O100" i="17"/>
  <c r="P53" i="17"/>
  <c r="L87" i="18"/>
  <c r="N82" i="18"/>
  <c r="O81" i="17"/>
  <c r="V78" i="13"/>
  <c r="V76" i="13"/>
  <c r="V77" i="13"/>
  <c r="O54" i="17"/>
  <c r="N60" i="17" s="1"/>
  <c r="K89" i="17"/>
  <c r="L62" i="18"/>
  <c r="M86" i="17"/>
  <c r="U78" i="13"/>
  <c r="U76" i="13"/>
  <c r="U77" i="13"/>
  <c r="N82" i="17"/>
  <c r="O82" i="17" s="1"/>
  <c r="N54" i="18"/>
  <c r="M60" i="18" s="1"/>
  <c r="M62" i="18"/>
  <c r="O56" i="18"/>
  <c r="P56" i="18" s="1"/>
  <c r="P70" i="18"/>
  <c r="P72" i="18" s="1"/>
  <c r="P70" i="17"/>
  <c r="P72" i="17" s="1"/>
  <c r="N101" i="18"/>
  <c r="O24" i="18"/>
  <c r="L89" i="18"/>
  <c r="N84" i="18"/>
  <c r="O100" i="18"/>
  <c r="P53" i="18"/>
  <c r="N59" i="17"/>
  <c r="M60" i="17"/>
  <c r="O24" i="17"/>
  <c r="N101" i="17"/>
  <c r="O73" i="18"/>
  <c r="O79" i="18"/>
  <c r="M62" i="17"/>
  <c r="O56" i="17"/>
  <c r="V77" i="18"/>
  <c r="V78" i="18"/>
  <c r="V76" i="18"/>
  <c r="T55" i="18"/>
  <c r="S61" i="18" s="1"/>
  <c r="R81" i="18"/>
  <c r="Q86" i="18" s="1"/>
  <c r="R61" i="18"/>
  <c r="U78" i="18"/>
  <c r="U77" i="18"/>
  <c r="U76" i="18"/>
  <c r="R83" i="18"/>
  <c r="P86" i="18"/>
  <c r="T55" i="17"/>
  <c r="S61" i="17" s="1"/>
  <c r="R83" i="17"/>
  <c r="R61" i="17"/>
  <c r="W78" i="17"/>
  <c r="P88" i="17"/>
  <c r="O72" i="13"/>
  <c r="N60" i="13"/>
  <c r="P54" i="13"/>
  <c r="N73" i="13"/>
  <c r="N79" i="13"/>
  <c r="I89" i="13"/>
  <c r="J89" i="13"/>
  <c r="L84" i="13"/>
  <c r="K89" i="13" s="1"/>
  <c r="O56" i="13"/>
  <c r="R55" i="13"/>
  <c r="Q61" i="13" s="1"/>
  <c r="O24" i="13"/>
  <c r="N101" i="13"/>
  <c r="M60" i="13"/>
  <c r="M82" i="13"/>
  <c r="N82" i="13" s="1"/>
  <c r="P70" i="13"/>
  <c r="O81" i="13"/>
  <c r="P81" i="13" s="1"/>
  <c r="P53" i="13"/>
  <c r="O100" i="13"/>
  <c r="M62" i="13"/>
  <c r="P61" i="13"/>
  <c r="T83" i="13"/>
  <c r="J50" i="5"/>
  <c r="K24" i="5"/>
  <c r="L109" i="12"/>
  <c r="L83" i="12"/>
  <c r="K88" i="12" s="1"/>
  <c r="O23" i="12"/>
  <c r="N100" i="12"/>
  <c r="O80" i="12"/>
  <c r="L81" i="12"/>
  <c r="K86" i="12" s="1"/>
  <c r="Q82" i="12"/>
  <c r="M85" i="12"/>
  <c r="O87" i="12"/>
  <c r="N72" i="12"/>
  <c r="N78" i="12"/>
  <c r="O71" i="12"/>
  <c r="O76" i="12"/>
  <c r="M55" i="12"/>
  <c r="P52" i="12"/>
  <c r="R54" i="12"/>
  <c r="N53" i="12"/>
  <c r="M59" i="12" s="1"/>
  <c r="K61" i="12"/>
  <c r="N58" i="12"/>
  <c r="P60" i="12"/>
  <c r="L59" i="12"/>
  <c r="P69" i="12"/>
  <c r="P16" i="3"/>
  <c r="O17" i="3" s="1"/>
  <c r="O40" i="3"/>
  <c r="P35" i="3"/>
  <c r="O36" i="3" s="1"/>
  <c r="N17" i="3"/>
  <c r="Q35" i="2"/>
  <c r="P36" i="2" s="1"/>
  <c r="Q14" i="2"/>
  <c r="P20" i="5"/>
  <c r="W15" i="5"/>
  <c r="X15" i="5"/>
  <c r="Q26" i="5"/>
  <c r="P21" i="5"/>
  <c r="P19" i="5"/>
  <c r="O22" i="5"/>
  <c r="Q10" i="5"/>
  <c r="Q9" i="5"/>
  <c r="K29" i="5"/>
  <c r="M23" i="5"/>
  <c r="M27" i="5"/>
  <c r="M28" i="5" s="1"/>
  <c r="L29" i="5" s="1"/>
  <c r="Q8" i="5"/>
  <c r="O11" i="5"/>
  <c r="M12" i="5"/>
  <c r="W78" i="13" l="1"/>
  <c r="O86" i="20"/>
  <c r="R81" i="20"/>
  <c r="S81" i="20" s="1"/>
  <c r="R86" i="20" s="1"/>
  <c r="S16" i="24"/>
  <c r="R17" i="24" s="1"/>
  <c r="S40" i="24"/>
  <c r="Q17" i="24"/>
  <c r="Q41" i="24"/>
  <c r="T35" i="24"/>
  <c r="W76" i="13"/>
  <c r="W77" i="18"/>
  <c r="W76" i="19"/>
  <c r="S56" i="21"/>
  <c r="R62" i="21" s="1"/>
  <c r="Q53" i="19"/>
  <c r="P59" i="19" s="1"/>
  <c r="P100" i="19"/>
  <c r="N60" i="19"/>
  <c r="P54" i="19"/>
  <c r="O60" i="19" s="1"/>
  <c r="N82" i="21"/>
  <c r="L89" i="20"/>
  <c r="N84" i="20"/>
  <c r="P56" i="20"/>
  <c r="P100" i="20"/>
  <c r="Q53" i="20"/>
  <c r="P73" i="19"/>
  <c r="P79" i="19"/>
  <c r="Q81" i="19"/>
  <c r="M82" i="19"/>
  <c r="N82" i="19" s="1"/>
  <c r="Q70" i="21"/>
  <c r="Q72" i="21" s="1"/>
  <c r="Q70" i="20"/>
  <c r="Q72" i="20" s="1"/>
  <c r="Q70" i="19"/>
  <c r="Q72" i="19" s="1"/>
  <c r="M82" i="20"/>
  <c r="L87" i="20" s="1"/>
  <c r="P73" i="20"/>
  <c r="P79" i="20"/>
  <c r="P54" i="20"/>
  <c r="Q54" i="20" s="1"/>
  <c r="M60" i="19"/>
  <c r="L87" i="21"/>
  <c r="K89" i="20"/>
  <c r="M60" i="21"/>
  <c r="N62" i="20"/>
  <c r="O86" i="19"/>
  <c r="K87" i="19"/>
  <c r="O59" i="21"/>
  <c r="Q53" i="21"/>
  <c r="P59" i="21" s="1"/>
  <c r="P100" i="21"/>
  <c r="M84" i="21"/>
  <c r="N84" i="21" s="1"/>
  <c r="P24" i="19"/>
  <c r="O101" i="19"/>
  <c r="O101" i="20"/>
  <c r="P24" i="20"/>
  <c r="N56" i="19"/>
  <c r="O59" i="19"/>
  <c r="O59" i="20"/>
  <c r="N60" i="21"/>
  <c r="P54" i="21"/>
  <c r="O60" i="21" s="1"/>
  <c r="P24" i="21"/>
  <c r="O101" i="21"/>
  <c r="M84" i="19"/>
  <c r="L89" i="19" s="1"/>
  <c r="P73" i="21"/>
  <c r="P79" i="21"/>
  <c r="N62" i="18"/>
  <c r="W77" i="20"/>
  <c r="K89" i="21"/>
  <c r="L62" i="19"/>
  <c r="W78" i="20"/>
  <c r="S83" i="20"/>
  <c r="R88" i="20" s="1"/>
  <c r="Q88" i="20"/>
  <c r="U55" i="20"/>
  <c r="W76" i="20"/>
  <c r="S81" i="21"/>
  <c r="R86" i="21" s="1"/>
  <c r="T83" i="21"/>
  <c r="V55" i="21"/>
  <c r="U61" i="21"/>
  <c r="U55" i="19"/>
  <c r="W77" i="19"/>
  <c r="S83" i="19"/>
  <c r="W78" i="19"/>
  <c r="Q88" i="19"/>
  <c r="O101" i="17"/>
  <c r="P24" i="17"/>
  <c r="P100" i="18"/>
  <c r="Q53" i="18"/>
  <c r="P59" i="18" s="1"/>
  <c r="P73" i="18"/>
  <c r="P79" i="18"/>
  <c r="O54" i="18"/>
  <c r="N60" i="18" s="1"/>
  <c r="P81" i="17"/>
  <c r="Q81" i="17" s="1"/>
  <c r="Q53" i="17"/>
  <c r="P59" i="17" s="1"/>
  <c r="P100" i="17"/>
  <c r="P24" i="18"/>
  <c r="O101" i="18"/>
  <c r="N84" i="17"/>
  <c r="M89" i="17" s="1"/>
  <c r="Q70" i="18"/>
  <c r="Q72" i="18" s="1"/>
  <c r="Q70" i="17"/>
  <c r="Q72" i="17" s="1"/>
  <c r="N62" i="17"/>
  <c r="P56" i="17"/>
  <c r="P73" i="17"/>
  <c r="P79" i="17"/>
  <c r="N87" i="17"/>
  <c r="P82" i="17"/>
  <c r="Q82" i="17" s="1"/>
  <c r="O59" i="18"/>
  <c r="O84" i="18"/>
  <c r="N86" i="17"/>
  <c r="O59" i="17"/>
  <c r="M87" i="18"/>
  <c r="O82" i="18"/>
  <c r="O62" i="18"/>
  <c r="Q56" i="18"/>
  <c r="R56" i="18" s="1"/>
  <c r="P54" i="17"/>
  <c r="M89" i="18"/>
  <c r="M87" i="17"/>
  <c r="S83" i="18"/>
  <c r="S81" i="18"/>
  <c r="R86" i="18" s="1"/>
  <c r="Q88" i="18"/>
  <c r="W78" i="18"/>
  <c r="U55" i="18"/>
  <c r="W76" i="18"/>
  <c r="S83" i="17"/>
  <c r="R88" i="17" s="1"/>
  <c r="Q88" i="17"/>
  <c r="U55" i="17"/>
  <c r="L87" i="13"/>
  <c r="Q53" i="13"/>
  <c r="P100" i="13"/>
  <c r="P56" i="13"/>
  <c r="Q56" i="13" s="1"/>
  <c r="Q54" i="13"/>
  <c r="Q70" i="13"/>
  <c r="N62" i="13"/>
  <c r="O60" i="13"/>
  <c r="O86" i="13"/>
  <c r="Q81" i="13"/>
  <c r="P72" i="13"/>
  <c r="S55" i="13"/>
  <c r="M84" i="13"/>
  <c r="N84" i="13" s="1"/>
  <c r="O59" i="13"/>
  <c r="M87" i="13"/>
  <c r="O82" i="13"/>
  <c r="P24" i="13"/>
  <c r="O101" i="13"/>
  <c r="O73" i="13"/>
  <c r="O79" i="13"/>
  <c r="N86" i="13"/>
  <c r="U83" i="13"/>
  <c r="S88" i="13"/>
  <c r="K47" i="5"/>
  <c r="K49" i="5" s="1"/>
  <c r="K50" i="5" s="1"/>
  <c r="L24" i="5"/>
  <c r="L47" i="5" s="1"/>
  <c r="L49" i="5" s="1"/>
  <c r="M109" i="12"/>
  <c r="M83" i="12"/>
  <c r="N83" i="12" s="1"/>
  <c r="M88" i="12" s="1"/>
  <c r="O58" i="12"/>
  <c r="P99" i="12"/>
  <c r="P23" i="12"/>
  <c r="O100" i="12"/>
  <c r="R82" i="12"/>
  <c r="Q87" i="12" s="1"/>
  <c r="P87" i="12"/>
  <c r="P80" i="12"/>
  <c r="O85" i="12" s="1"/>
  <c r="M81" i="12"/>
  <c r="L86" i="12" s="1"/>
  <c r="N85" i="12"/>
  <c r="O72" i="12"/>
  <c r="O78" i="12"/>
  <c r="P71" i="12"/>
  <c r="P76" i="12"/>
  <c r="S54" i="12"/>
  <c r="Q60" i="12"/>
  <c r="N55" i="12"/>
  <c r="M61" i="12" s="1"/>
  <c r="O53" i="12"/>
  <c r="Q52" i="12"/>
  <c r="Q99" i="12" s="1"/>
  <c r="L61" i="12"/>
  <c r="Q69" i="12"/>
  <c r="R8" i="5"/>
  <c r="R10" i="5"/>
  <c r="R9" i="5"/>
  <c r="P40" i="3"/>
  <c r="O41" i="3" s="1"/>
  <c r="Q35" i="3"/>
  <c r="P36" i="3" s="1"/>
  <c r="Q16" i="3"/>
  <c r="P17" i="3" s="1"/>
  <c r="N41" i="3"/>
  <c r="R35" i="2"/>
  <c r="Q36" i="2" s="1"/>
  <c r="R14" i="2"/>
  <c r="Q20" i="5"/>
  <c r="R20" i="5" s="1"/>
  <c r="N12" i="5"/>
  <c r="P11" i="5"/>
  <c r="Q11" i="5" s="1"/>
  <c r="R21" i="5"/>
  <c r="R26" i="5"/>
  <c r="R19" i="5"/>
  <c r="Q21" i="5"/>
  <c r="Q19" i="5"/>
  <c r="P22" i="5"/>
  <c r="N23" i="5"/>
  <c r="N27" i="5"/>
  <c r="N28" i="5" s="1"/>
  <c r="M29" i="5" s="1"/>
  <c r="C11" i="4"/>
  <c r="B5" i="4"/>
  <c r="B4" i="4"/>
  <c r="X5" i="2"/>
  <c r="C3" i="2"/>
  <c r="O53" i="1"/>
  <c r="O50" i="1"/>
  <c r="O54" i="1" s="1"/>
  <c r="O41" i="1"/>
  <c r="O38" i="1"/>
  <c r="O42" i="1" s="1"/>
  <c r="O44" i="1" s="1"/>
  <c r="Q86" i="20" l="1"/>
  <c r="T56" i="21"/>
  <c r="S62" i="21" s="1"/>
  <c r="T16" i="24"/>
  <c r="U35" i="24"/>
  <c r="T40" i="24"/>
  <c r="S41" i="24" s="1"/>
  <c r="S36" i="24"/>
  <c r="R41" i="24"/>
  <c r="P62" i="18"/>
  <c r="N84" i="19"/>
  <c r="M89" i="19" s="1"/>
  <c r="M89" i="21"/>
  <c r="O84" i="21"/>
  <c r="N89" i="21" s="1"/>
  <c r="Q73" i="21"/>
  <c r="Q79" i="21"/>
  <c r="R81" i="19"/>
  <c r="S81" i="19" s="1"/>
  <c r="T81" i="19" s="1"/>
  <c r="Q100" i="20"/>
  <c r="R53" i="20"/>
  <c r="M89" i="20"/>
  <c r="O84" i="20"/>
  <c r="O60" i="20"/>
  <c r="Q54" i="21"/>
  <c r="M87" i="19"/>
  <c r="O82" i="19"/>
  <c r="Q54" i="19"/>
  <c r="P60" i="19" s="1"/>
  <c r="R70" i="21"/>
  <c r="R72" i="21" s="1"/>
  <c r="R70" i="19"/>
  <c r="R72" i="19" s="1"/>
  <c r="R70" i="20"/>
  <c r="R72" i="20" s="1"/>
  <c r="Q24" i="21"/>
  <c r="P101" i="21"/>
  <c r="Q24" i="20"/>
  <c r="P101" i="20"/>
  <c r="R53" i="21"/>
  <c r="Q100" i="21"/>
  <c r="Q73" i="20"/>
  <c r="Q79" i="20"/>
  <c r="Q56" i="20"/>
  <c r="R56" i="20" s="1"/>
  <c r="O82" i="21"/>
  <c r="L89" i="21"/>
  <c r="P86" i="19"/>
  <c r="P59" i="20"/>
  <c r="O56" i="19"/>
  <c r="N62" i="19" s="1"/>
  <c r="P60" i="20"/>
  <c r="R54" i="20"/>
  <c r="N82" i="20"/>
  <c r="R53" i="19"/>
  <c r="Q59" i="19" s="1"/>
  <c r="Q100" i="19"/>
  <c r="P101" i="19"/>
  <c r="Q24" i="19"/>
  <c r="Q73" i="19"/>
  <c r="Q79" i="19"/>
  <c r="M62" i="19"/>
  <c r="L87" i="19"/>
  <c r="O62" i="20"/>
  <c r="M87" i="21"/>
  <c r="T83" i="20"/>
  <c r="V55" i="20"/>
  <c r="U61" i="20"/>
  <c r="T81" i="20"/>
  <c r="S86" i="20" s="1"/>
  <c r="U83" i="21"/>
  <c r="S88" i="21"/>
  <c r="X55" i="21"/>
  <c r="V61" i="21" s="1"/>
  <c r="T61" i="21"/>
  <c r="T81" i="21"/>
  <c r="S86" i="21" s="1"/>
  <c r="T83" i="19"/>
  <c r="V55" i="19"/>
  <c r="U61" i="19"/>
  <c r="R88" i="19"/>
  <c r="Q54" i="17"/>
  <c r="R54" i="17" s="1"/>
  <c r="N87" i="18"/>
  <c r="P82" i="18"/>
  <c r="N89" i="18"/>
  <c r="P84" i="18"/>
  <c r="Q56" i="17"/>
  <c r="R56" i="17" s="1"/>
  <c r="P86" i="17"/>
  <c r="R81" i="17"/>
  <c r="Q86" i="17" s="1"/>
  <c r="P101" i="17"/>
  <c r="Q24" i="17"/>
  <c r="O84" i="17"/>
  <c r="P87" i="17"/>
  <c r="R82" i="17"/>
  <c r="Q73" i="18"/>
  <c r="Q79" i="18"/>
  <c r="Q24" i="18"/>
  <c r="P101" i="18"/>
  <c r="O60" i="17"/>
  <c r="O62" i="17"/>
  <c r="O86" i="17"/>
  <c r="R70" i="17"/>
  <c r="R72" i="17" s="1"/>
  <c r="R70" i="18"/>
  <c r="R72" i="18" s="1"/>
  <c r="Q62" i="18"/>
  <c r="S56" i="18"/>
  <c r="Q73" i="17"/>
  <c r="Q79" i="17"/>
  <c r="Q100" i="17"/>
  <c r="R53" i="17"/>
  <c r="P54" i="18"/>
  <c r="O60" i="18" s="1"/>
  <c r="R53" i="18"/>
  <c r="Q59" i="18" s="1"/>
  <c r="Q100" i="18"/>
  <c r="O87" i="17"/>
  <c r="T83" i="18"/>
  <c r="T81" i="18"/>
  <c r="S86" i="18" s="1"/>
  <c r="V55" i="18"/>
  <c r="U61" i="18"/>
  <c r="R88" i="18"/>
  <c r="V55" i="17"/>
  <c r="U61" i="17"/>
  <c r="T83" i="17"/>
  <c r="S88" i="17" s="1"/>
  <c r="L89" i="13"/>
  <c r="N87" i="13"/>
  <c r="P82" i="13"/>
  <c r="P86" i="13"/>
  <c r="R81" i="13"/>
  <c r="Q86" i="13" s="1"/>
  <c r="R54" i="13"/>
  <c r="S54" i="13" s="1"/>
  <c r="Q100" i="13"/>
  <c r="R53" i="13"/>
  <c r="Q24" i="13"/>
  <c r="P101" i="13"/>
  <c r="T55" i="13"/>
  <c r="U55" i="13" s="1"/>
  <c r="P62" i="13"/>
  <c r="R56" i="13"/>
  <c r="Q62" i="13" s="1"/>
  <c r="P60" i="13"/>
  <c r="L50" i="5"/>
  <c r="R61" i="13"/>
  <c r="O62" i="13"/>
  <c r="P59" i="13"/>
  <c r="R69" i="12"/>
  <c r="R76" i="12" s="1"/>
  <c r="R70" i="13"/>
  <c r="M89" i="13"/>
  <c r="O84" i="13"/>
  <c r="N89" i="13" s="1"/>
  <c r="P73" i="13"/>
  <c r="P79" i="13"/>
  <c r="Q72" i="13"/>
  <c r="V83" i="13"/>
  <c r="U88" i="13"/>
  <c r="M24" i="5"/>
  <c r="M47" i="5" s="1"/>
  <c r="M49" i="5" s="1"/>
  <c r="N109" i="12"/>
  <c r="L88" i="12"/>
  <c r="O83" i="12"/>
  <c r="N88" i="12" s="1"/>
  <c r="Q23" i="12"/>
  <c r="P100" i="12"/>
  <c r="Q80" i="12"/>
  <c r="P85" i="12" s="1"/>
  <c r="N81" i="12"/>
  <c r="M86" i="12" s="1"/>
  <c r="S82" i="12"/>
  <c r="P72" i="12"/>
  <c r="P78" i="12"/>
  <c r="Q71" i="12"/>
  <c r="Q76" i="12"/>
  <c r="P53" i="12"/>
  <c r="R52" i="12"/>
  <c r="R99" i="12" s="1"/>
  <c r="T54" i="12"/>
  <c r="R60" i="12"/>
  <c r="N59" i="12"/>
  <c r="O55" i="12"/>
  <c r="N61" i="12" s="1"/>
  <c r="P58" i="12"/>
  <c r="R27" i="5"/>
  <c r="S9" i="5"/>
  <c r="T9" i="5" s="1"/>
  <c r="S8" i="5"/>
  <c r="R11" i="5"/>
  <c r="Q12" i="5" s="1"/>
  <c r="S10" i="5"/>
  <c r="Q40" i="3"/>
  <c r="P41" i="3" s="1"/>
  <c r="R35" i="3"/>
  <c r="R16" i="3"/>
  <c r="Q17" i="3" s="1"/>
  <c r="S35" i="2"/>
  <c r="R36" i="2" s="1"/>
  <c r="D3" i="2"/>
  <c r="C15" i="2"/>
  <c r="S14" i="2"/>
  <c r="O12" i="5"/>
  <c r="S20" i="5"/>
  <c r="S26" i="5"/>
  <c r="S19" i="5"/>
  <c r="S21" i="5"/>
  <c r="T10" i="5"/>
  <c r="T8" i="5"/>
  <c r="Q22" i="5"/>
  <c r="O23" i="5"/>
  <c r="O27" i="5"/>
  <c r="O28" i="5" s="1"/>
  <c r="N29" i="5" s="1"/>
  <c r="X5" i="5"/>
  <c r="W5" i="5"/>
  <c r="P12" i="5"/>
  <c r="B6" i="4"/>
  <c r="B7" i="4" s="1"/>
  <c r="C39" i="2"/>
  <c r="B39" i="2"/>
  <c r="B40" i="2" s="1"/>
  <c r="D39" i="2"/>
  <c r="B16" i="2"/>
  <c r="O56" i="1"/>
  <c r="U56" i="21" l="1"/>
  <c r="V56" i="21" s="1"/>
  <c r="U16" i="24"/>
  <c r="U40" i="24"/>
  <c r="S17" i="24"/>
  <c r="V35" i="24"/>
  <c r="U36" i="24" s="1"/>
  <c r="T36" i="24"/>
  <c r="Q86" i="19"/>
  <c r="S86" i="19"/>
  <c r="R86" i="19"/>
  <c r="S70" i="20"/>
  <c r="S72" i="20" s="1"/>
  <c r="S70" i="21"/>
  <c r="S72" i="21" s="1"/>
  <c r="S70" i="19"/>
  <c r="S72" i="19" s="1"/>
  <c r="O82" i="20"/>
  <c r="P82" i="20" s="1"/>
  <c r="P82" i="21"/>
  <c r="Q82" i="21" s="1"/>
  <c r="S53" i="21"/>
  <c r="R59" i="21" s="1"/>
  <c r="R100" i="21"/>
  <c r="R24" i="21"/>
  <c r="Q101" i="21"/>
  <c r="N89" i="20"/>
  <c r="P84" i="20"/>
  <c r="Q84" i="20" s="1"/>
  <c r="P56" i="19"/>
  <c r="O62" i="19" s="1"/>
  <c r="Q62" i="20"/>
  <c r="S56" i="20"/>
  <c r="R73" i="21"/>
  <c r="R79" i="21"/>
  <c r="P82" i="19"/>
  <c r="O84" i="19"/>
  <c r="N89" i="19" s="1"/>
  <c r="M87" i="20"/>
  <c r="R24" i="19"/>
  <c r="Q101" i="19"/>
  <c r="R100" i="19"/>
  <c r="S53" i="19"/>
  <c r="R24" i="20"/>
  <c r="Q101" i="20"/>
  <c r="R73" i="19"/>
  <c r="R79" i="19"/>
  <c r="R54" i="21"/>
  <c r="S54" i="21" s="1"/>
  <c r="Q59" i="20"/>
  <c r="R100" i="20"/>
  <c r="S53" i="20"/>
  <c r="P62" i="17"/>
  <c r="P62" i="20"/>
  <c r="Q59" i="21"/>
  <c r="N87" i="19"/>
  <c r="Q60" i="20"/>
  <c r="S54" i="20"/>
  <c r="R73" i="20"/>
  <c r="R79" i="20"/>
  <c r="R54" i="19"/>
  <c r="P84" i="21"/>
  <c r="O89" i="21" s="1"/>
  <c r="N87" i="21"/>
  <c r="P60" i="21"/>
  <c r="U83" i="20"/>
  <c r="S88" i="20"/>
  <c r="U81" i="20"/>
  <c r="X55" i="20"/>
  <c r="V61" i="20" s="1"/>
  <c r="T61" i="20"/>
  <c r="U81" i="21"/>
  <c r="V83" i="21"/>
  <c r="U88" i="21"/>
  <c r="X61" i="21"/>
  <c r="X55" i="19"/>
  <c r="V61" i="19" s="1"/>
  <c r="T61" i="19"/>
  <c r="U81" i="19"/>
  <c r="U83" i="19"/>
  <c r="S88" i="19"/>
  <c r="S70" i="18"/>
  <c r="S72" i="18" s="1"/>
  <c r="S70" i="17"/>
  <c r="S72" i="17" s="1"/>
  <c r="R24" i="18"/>
  <c r="Q101" i="18"/>
  <c r="S82" i="17"/>
  <c r="R24" i="17"/>
  <c r="Q101" i="17"/>
  <c r="M50" i="5"/>
  <c r="Q84" i="18"/>
  <c r="P60" i="17"/>
  <c r="Q60" i="17"/>
  <c r="S54" i="17"/>
  <c r="R100" i="18"/>
  <c r="S53" i="18"/>
  <c r="S53" i="17"/>
  <c r="R100" i="17"/>
  <c r="T56" i="18"/>
  <c r="R62" i="18"/>
  <c r="P84" i="17"/>
  <c r="O89" i="17" s="1"/>
  <c r="R71" i="12"/>
  <c r="R78" i="12" s="1"/>
  <c r="Q87" i="17"/>
  <c r="O89" i="18"/>
  <c r="Q54" i="18"/>
  <c r="P60" i="18" s="1"/>
  <c r="R73" i="18"/>
  <c r="R79" i="18"/>
  <c r="R73" i="17"/>
  <c r="R79" i="17"/>
  <c r="S81" i="17"/>
  <c r="Q62" i="17"/>
  <c r="S56" i="17"/>
  <c r="R62" i="17" s="1"/>
  <c r="O87" i="18"/>
  <c r="Q82" i="18"/>
  <c r="Q59" i="17"/>
  <c r="N89" i="17"/>
  <c r="U83" i="18"/>
  <c r="S88" i="18"/>
  <c r="X55" i="18"/>
  <c r="V61" i="18" s="1"/>
  <c r="T61" i="18"/>
  <c r="U81" i="18"/>
  <c r="U83" i="17"/>
  <c r="X55" i="17"/>
  <c r="V61" i="17" s="1"/>
  <c r="T61" i="17"/>
  <c r="S61" i="13"/>
  <c r="Q82" i="13"/>
  <c r="P87" i="13" s="1"/>
  <c r="Q73" i="13"/>
  <c r="Q79" i="13"/>
  <c r="S56" i="13"/>
  <c r="Q59" i="13"/>
  <c r="R100" i="13"/>
  <c r="S53" i="13"/>
  <c r="S69" i="12"/>
  <c r="S76" i="12" s="1"/>
  <c r="S70" i="13"/>
  <c r="U61" i="13"/>
  <c r="V55" i="13"/>
  <c r="Q101" i="13"/>
  <c r="R24" i="13"/>
  <c r="Q60" i="13"/>
  <c r="P84" i="13"/>
  <c r="O89" i="13" s="1"/>
  <c r="R72" i="13"/>
  <c r="R60" i="13"/>
  <c r="T54" i="13"/>
  <c r="S60" i="13" s="1"/>
  <c r="S81" i="13"/>
  <c r="R86" i="13" s="1"/>
  <c r="O87" i="13"/>
  <c r="V88" i="13"/>
  <c r="T88" i="13"/>
  <c r="R22" i="5"/>
  <c r="S22" i="5" s="1"/>
  <c r="O109" i="12"/>
  <c r="S60" i="12"/>
  <c r="U54" i="12"/>
  <c r="P83" i="12"/>
  <c r="O88" i="12" s="1"/>
  <c r="R23" i="12"/>
  <c r="Q100" i="12"/>
  <c r="O81" i="12"/>
  <c r="N86" i="12" s="1"/>
  <c r="T82" i="12"/>
  <c r="U82" i="12" s="1"/>
  <c r="R80" i="12"/>
  <c r="R87" i="12"/>
  <c r="Q72" i="12"/>
  <c r="Q78" i="12"/>
  <c r="P55" i="12"/>
  <c r="Q53" i="12"/>
  <c r="S52" i="12"/>
  <c r="S99" i="12" s="1"/>
  <c r="O59" i="12"/>
  <c r="Q58" i="12"/>
  <c r="S27" i="5"/>
  <c r="S11" i="5"/>
  <c r="S12" i="5" s="1"/>
  <c r="R40" i="3"/>
  <c r="Q41" i="3" s="1"/>
  <c r="S35" i="3"/>
  <c r="Q36" i="3"/>
  <c r="S16" i="3"/>
  <c r="R17" i="3" s="1"/>
  <c r="T35" i="2"/>
  <c r="S36" i="2" s="1"/>
  <c r="E3" i="2"/>
  <c r="E39" i="2" s="1"/>
  <c r="D15" i="2"/>
  <c r="T14" i="2"/>
  <c r="U9" i="5"/>
  <c r="T20" i="5"/>
  <c r="U8" i="5"/>
  <c r="U10" i="5"/>
  <c r="T26" i="5"/>
  <c r="T19" i="5"/>
  <c r="T21" i="5"/>
  <c r="P23" i="5"/>
  <c r="N24" i="5"/>
  <c r="N47" i="5" s="1"/>
  <c r="N49" i="5" s="1"/>
  <c r="P27" i="5"/>
  <c r="P28" i="5" s="1"/>
  <c r="O29" i="5" s="1"/>
  <c r="C16" i="2"/>
  <c r="C40" i="2"/>
  <c r="B41" i="2" s="1"/>
  <c r="S71" i="12" l="1"/>
  <c r="X61" i="19"/>
  <c r="X61" i="20"/>
  <c r="U62" i="21"/>
  <c r="X36" i="24"/>
  <c r="V16" i="24"/>
  <c r="U17" i="24" s="1"/>
  <c r="T17" i="24"/>
  <c r="V40" i="24"/>
  <c r="U41" i="24" s="1"/>
  <c r="T41" i="24"/>
  <c r="O87" i="21"/>
  <c r="Q60" i="21"/>
  <c r="X61" i="17"/>
  <c r="N87" i="20"/>
  <c r="S24" i="20"/>
  <c r="R101" i="20"/>
  <c r="R60" i="21"/>
  <c r="T54" i="21"/>
  <c r="S60" i="21" s="1"/>
  <c r="P89" i="20"/>
  <c r="R84" i="20"/>
  <c r="S73" i="21"/>
  <c r="S79" i="21"/>
  <c r="R59" i="20"/>
  <c r="T53" i="20"/>
  <c r="S100" i="20"/>
  <c r="P84" i="19"/>
  <c r="S73" i="20"/>
  <c r="S79" i="20"/>
  <c r="S54" i="19"/>
  <c r="T54" i="20"/>
  <c r="S60" i="20" s="1"/>
  <c r="S100" i="19"/>
  <c r="T53" i="19"/>
  <c r="S59" i="19" s="1"/>
  <c r="Q82" i="19"/>
  <c r="P87" i="19" s="1"/>
  <c r="T56" i="20"/>
  <c r="U56" i="20" s="1"/>
  <c r="S24" i="21"/>
  <c r="R101" i="21"/>
  <c r="P87" i="21"/>
  <c r="R82" i="21"/>
  <c r="S73" i="19"/>
  <c r="S79" i="19"/>
  <c r="O89" i="20"/>
  <c r="Q84" i="21"/>
  <c r="P89" i="21" s="1"/>
  <c r="T70" i="21"/>
  <c r="T72" i="21" s="1"/>
  <c r="T70" i="19"/>
  <c r="T72" i="19" s="1"/>
  <c r="T70" i="20"/>
  <c r="T72" i="20" s="1"/>
  <c r="S24" i="19"/>
  <c r="R101" i="19"/>
  <c r="Q56" i="19"/>
  <c r="T53" i="21"/>
  <c r="S100" i="21"/>
  <c r="O87" i="20"/>
  <c r="Q82" i="20"/>
  <c r="N50" i="5"/>
  <c r="Q60" i="19"/>
  <c r="R60" i="20"/>
  <c r="R59" i="19"/>
  <c r="O87" i="19"/>
  <c r="R62" i="20"/>
  <c r="U86" i="20"/>
  <c r="V81" i="20"/>
  <c r="V83" i="20"/>
  <c r="U88" i="20"/>
  <c r="X56" i="21"/>
  <c r="V62" i="21" s="1"/>
  <c r="T62" i="21"/>
  <c r="V88" i="21"/>
  <c r="T88" i="21"/>
  <c r="U86" i="21"/>
  <c r="V81" i="21"/>
  <c r="U86" i="19"/>
  <c r="V81" i="19"/>
  <c r="V83" i="19"/>
  <c r="U88" i="19"/>
  <c r="S62" i="18"/>
  <c r="U56" i="18"/>
  <c r="R59" i="18"/>
  <c r="T53" i="18"/>
  <c r="S100" i="18"/>
  <c r="T81" i="17"/>
  <c r="U81" i="17" s="1"/>
  <c r="U86" i="17" s="1"/>
  <c r="T53" i="17"/>
  <c r="S59" i="17" s="1"/>
  <c r="S100" i="17"/>
  <c r="T82" i="17"/>
  <c r="U82" i="17" s="1"/>
  <c r="U87" i="17" s="1"/>
  <c r="S73" i="18"/>
  <c r="S79" i="18"/>
  <c r="T56" i="17"/>
  <c r="U56" i="17" s="1"/>
  <c r="T70" i="18"/>
  <c r="T72" i="18" s="1"/>
  <c r="T70" i="17"/>
  <c r="T72" i="17" s="1"/>
  <c r="Q84" i="17"/>
  <c r="R84" i="17" s="1"/>
  <c r="R60" i="17"/>
  <c r="T54" i="17"/>
  <c r="S60" i="17" s="1"/>
  <c r="S73" i="17"/>
  <c r="S79" i="17"/>
  <c r="R72" i="12"/>
  <c r="X61" i="18"/>
  <c r="R86" i="17"/>
  <c r="R87" i="17"/>
  <c r="P87" i="18"/>
  <c r="R82" i="18"/>
  <c r="S82" i="18" s="1"/>
  <c r="R54" i="18"/>
  <c r="Q60" i="18" s="1"/>
  <c r="P89" i="18"/>
  <c r="R84" i="18"/>
  <c r="Q89" i="18" s="1"/>
  <c r="S24" i="17"/>
  <c r="R101" i="17"/>
  <c r="S24" i="18"/>
  <c r="R101" i="18"/>
  <c r="R59" i="17"/>
  <c r="V83" i="18"/>
  <c r="U88" i="18"/>
  <c r="U86" i="18"/>
  <c r="V81" i="18"/>
  <c r="V83" i="17"/>
  <c r="U88" i="17"/>
  <c r="T69" i="12"/>
  <c r="T71" i="12" s="1"/>
  <c r="T70" i="13"/>
  <c r="T81" i="13"/>
  <c r="S86" i="13" s="1"/>
  <c r="X55" i="13"/>
  <c r="V61" i="13" s="1"/>
  <c r="T61" i="13"/>
  <c r="T56" i="13"/>
  <c r="R82" i="13"/>
  <c r="U54" i="13"/>
  <c r="Q84" i="13"/>
  <c r="P89" i="13" s="1"/>
  <c r="S72" i="13"/>
  <c r="X88" i="13"/>
  <c r="R62" i="13"/>
  <c r="R73" i="13"/>
  <c r="R79" i="13"/>
  <c r="S24" i="13"/>
  <c r="R101" i="13"/>
  <c r="R59" i="13"/>
  <c r="S100" i="13"/>
  <c r="T53" i="13"/>
  <c r="O24" i="5"/>
  <c r="O47" i="5" s="1"/>
  <c r="O49" i="5" s="1"/>
  <c r="P109" i="12"/>
  <c r="R12" i="5"/>
  <c r="U60" i="12"/>
  <c r="V54" i="12"/>
  <c r="T60" i="12" s="1"/>
  <c r="U87" i="12"/>
  <c r="V82" i="12"/>
  <c r="V87" i="12" s="1"/>
  <c r="Q83" i="12"/>
  <c r="R83" i="12" s="1"/>
  <c r="S23" i="12"/>
  <c r="R100" i="12"/>
  <c r="P81" i="12"/>
  <c r="O86" i="12" s="1"/>
  <c r="S80" i="12"/>
  <c r="R85" i="12" s="1"/>
  <c r="Q85" i="12"/>
  <c r="S87" i="12"/>
  <c r="S72" i="12"/>
  <c r="S78" i="12"/>
  <c r="T52" i="12"/>
  <c r="U52" i="12" s="1"/>
  <c r="R53" i="12"/>
  <c r="Q55" i="12"/>
  <c r="P61" i="12" s="1"/>
  <c r="O61" i="12"/>
  <c r="R58" i="12"/>
  <c r="P59" i="12"/>
  <c r="T27" i="5"/>
  <c r="T11" i="5"/>
  <c r="T12" i="5" s="1"/>
  <c r="T22" i="5"/>
  <c r="S40" i="3"/>
  <c r="R41" i="3" s="1"/>
  <c r="T35" i="3"/>
  <c r="S36" i="3" s="1"/>
  <c r="R36" i="3"/>
  <c r="T16" i="3"/>
  <c r="U35" i="2"/>
  <c r="T36" i="2" s="1"/>
  <c r="F3" i="2"/>
  <c r="E15" i="2"/>
  <c r="U14" i="2"/>
  <c r="U20" i="5"/>
  <c r="W17" i="5"/>
  <c r="V8" i="5"/>
  <c r="V10" i="5"/>
  <c r="U19" i="5"/>
  <c r="U21" i="5"/>
  <c r="U26" i="5"/>
  <c r="V9" i="5"/>
  <c r="Q23" i="5"/>
  <c r="Q27" i="5"/>
  <c r="Q28" i="5" s="1"/>
  <c r="D16" i="2"/>
  <c r="C17" i="2" s="1"/>
  <c r="B17" i="2"/>
  <c r="D40" i="2"/>
  <c r="T76" i="12" l="1"/>
  <c r="O50" i="5"/>
  <c r="X17" i="24"/>
  <c r="C41" i="2"/>
  <c r="D63" i="22"/>
  <c r="D64" i="22" s="1"/>
  <c r="X41" i="24"/>
  <c r="V81" i="17"/>
  <c r="T86" i="17" s="1"/>
  <c r="V82" i="17"/>
  <c r="V87" i="17" s="1"/>
  <c r="S87" i="17"/>
  <c r="S86" i="17"/>
  <c r="X62" i="21"/>
  <c r="R56" i="19"/>
  <c r="Q62" i="19" s="1"/>
  <c r="S59" i="21"/>
  <c r="T100" i="21"/>
  <c r="U53" i="21"/>
  <c r="T24" i="19"/>
  <c r="S101" i="19"/>
  <c r="R82" i="19"/>
  <c r="S82" i="19" s="1"/>
  <c r="T54" i="19"/>
  <c r="S60" i="19" s="1"/>
  <c r="Q84" i="19"/>
  <c r="P87" i="20"/>
  <c r="R82" i="20"/>
  <c r="R84" i="21"/>
  <c r="Q89" i="21" s="1"/>
  <c r="T73" i="21"/>
  <c r="T79" i="21"/>
  <c r="U62" i="20"/>
  <c r="V56" i="20"/>
  <c r="S84" i="20"/>
  <c r="R60" i="19"/>
  <c r="O89" i="19"/>
  <c r="T73" i="20"/>
  <c r="T79" i="20"/>
  <c r="T24" i="21"/>
  <c r="S101" i="21"/>
  <c r="T24" i="20"/>
  <c r="S101" i="20"/>
  <c r="U70" i="21"/>
  <c r="U72" i="21" s="1"/>
  <c r="U70" i="20"/>
  <c r="U72" i="20" s="1"/>
  <c r="U70" i="19"/>
  <c r="U72" i="19" s="1"/>
  <c r="T73" i="19"/>
  <c r="T79" i="19"/>
  <c r="Q87" i="21"/>
  <c r="S82" i="21"/>
  <c r="U53" i="19"/>
  <c r="T100" i="19"/>
  <c r="U54" i="20"/>
  <c r="S59" i="20"/>
  <c r="U53" i="20"/>
  <c r="T100" i="20"/>
  <c r="U54" i="21"/>
  <c r="P62" i="19"/>
  <c r="S62" i="20"/>
  <c r="Q89" i="20"/>
  <c r="V88" i="20"/>
  <c r="T88" i="20"/>
  <c r="V86" i="20"/>
  <c r="T86" i="20"/>
  <c r="V86" i="21"/>
  <c r="T86" i="21"/>
  <c r="X88" i="21"/>
  <c r="V86" i="19"/>
  <c r="T86" i="19"/>
  <c r="V88" i="19"/>
  <c r="T88" i="19"/>
  <c r="T24" i="17"/>
  <c r="S101" i="17"/>
  <c r="Q89" i="17"/>
  <c r="S84" i="17"/>
  <c r="R89" i="17" s="1"/>
  <c r="U62" i="17"/>
  <c r="V56" i="17"/>
  <c r="T62" i="17" s="1"/>
  <c r="T100" i="18"/>
  <c r="U53" i="18"/>
  <c r="R87" i="18"/>
  <c r="T82" i="18"/>
  <c r="P89" i="17"/>
  <c r="S62" i="17"/>
  <c r="U70" i="18"/>
  <c r="U72" i="18" s="1"/>
  <c r="U70" i="17"/>
  <c r="U72" i="17" s="1"/>
  <c r="S101" i="18"/>
  <c r="T24" i="18"/>
  <c r="S84" i="18"/>
  <c r="T73" i="18"/>
  <c r="T79" i="18"/>
  <c r="T100" i="17"/>
  <c r="U53" i="17"/>
  <c r="V56" i="18"/>
  <c r="U62" i="18"/>
  <c r="Q87" i="18"/>
  <c r="S59" i="18"/>
  <c r="S54" i="18"/>
  <c r="U54" i="17"/>
  <c r="T73" i="17"/>
  <c r="T79" i="17"/>
  <c r="X56" i="17"/>
  <c r="V62" i="17" s="1"/>
  <c r="V88" i="18"/>
  <c r="T88" i="18"/>
  <c r="V86" i="18"/>
  <c r="T86" i="18"/>
  <c r="V88" i="17"/>
  <c r="T88" i="17"/>
  <c r="U56" i="13"/>
  <c r="Q87" i="13"/>
  <c r="S82" i="13"/>
  <c r="R87" i="13" s="1"/>
  <c r="S62" i="13"/>
  <c r="U69" i="12"/>
  <c r="U71" i="12" s="1"/>
  <c r="U70" i="13"/>
  <c r="S59" i="13"/>
  <c r="T100" i="13"/>
  <c r="U53" i="13"/>
  <c r="S101" i="13"/>
  <c r="T24" i="13"/>
  <c r="S73" i="13"/>
  <c r="S79" i="13"/>
  <c r="V54" i="13"/>
  <c r="U60" i="13"/>
  <c r="U81" i="13"/>
  <c r="X61" i="13"/>
  <c r="T72" i="13"/>
  <c r="R84" i="13"/>
  <c r="Q109" i="12"/>
  <c r="U58" i="12"/>
  <c r="V52" i="12"/>
  <c r="V99" i="12" s="1"/>
  <c r="P88" i="12"/>
  <c r="S100" i="12"/>
  <c r="T23" i="12"/>
  <c r="U23" i="12" s="1"/>
  <c r="V23" i="12" s="1"/>
  <c r="S58" i="12"/>
  <c r="T99" i="12"/>
  <c r="T80" i="12"/>
  <c r="Q81" i="12"/>
  <c r="P86" i="12" s="1"/>
  <c r="Q88" i="12"/>
  <c r="S83" i="12"/>
  <c r="T87" i="12"/>
  <c r="T72" i="12"/>
  <c r="T78" i="12"/>
  <c r="S53" i="12"/>
  <c r="Q59" i="12"/>
  <c r="R55" i="12"/>
  <c r="Q61" i="12" s="1"/>
  <c r="U27" i="5"/>
  <c r="U22" i="5"/>
  <c r="U11" i="5"/>
  <c r="V11" i="5" s="1"/>
  <c r="T40" i="3"/>
  <c r="S41" i="3" s="1"/>
  <c r="U35" i="3"/>
  <c r="T36" i="3" s="1"/>
  <c r="U16" i="3"/>
  <c r="T17" i="3" s="1"/>
  <c r="S17" i="3"/>
  <c r="V35" i="2"/>
  <c r="U36" i="2" s="1"/>
  <c r="G3" i="2"/>
  <c r="F15" i="2"/>
  <c r="F39" i="2"/>
  <c r="V14" i="2"/>
  <c r="W14" i="2" s="1"/>
  <c r="V20" i="5"/>
  <c r="X17" i="5"/>
  <c r="V21" i="5"/>
  <c r="V26" i="5"/>
  <c r="V19" i="5"/>
  <c r="P29" i="5"/>
  <c r="R28" i="5"/>
  <c r="Q29" i="5" s="1"/>
  <c r="P24" i="5"/>
  <c r="R23" i="5"/>
  <c r="E16" i="2"/>
  <c r="E40" i="2"/>
  <c r="T87" i="17" l="1"/>
  <c r="U76" i="12"/>
  <c r="D65" i="22"/>
  <c r="X87" i="17"/>
  <c r="D71" i="22"/>
  <c r="D72" i="22" s="1"/>
  <c r="D41" i="2"/>
  <c r="E63" i="22"/>
  <c r="X88" i="18"/>
  <c r="X88" i="17"/>
  <c r="V86" i="17"/>
  <c r="X86" i="17" s="1"/>
  <c r="X88" i="20"/>
  <c r="T84" i="20"/>
  <c r="X86" i="21"/>
  <c r="X86" i="20"/>
  <c r="T82" i="21"/>
  <c r="S87" i="21" s="1"/>
  <c r="U73" i="19"/>
  <c r="U79" i="19"/>
  <c r="U24" i="20"/>
  <c r="V24" i="20" s="1"/>
  <c r="V101" i="20" s="1"/>
  <c r="T101" i="20"/>
  <c r="S82" i="20"/>
  <c r="R87" i="20" s="1"/>
  <c r="R87" i="19"/>
  <c r="T82" i="19"/>
  <c r="S87" i="19" s="1"/>
  <c r="U73" i="20"/>
  <c r="U79" i="20"/>
  <c r="X56" i="20"/>
  <c r="V62" i="20" s="1"/>
  <c r="T62" i="20"/>
  <c r="S56" i="19"/>
  <c r="R62" i="19" s="1"/>
  <c r="V54" i="21"/>
  <c r="T60" i="21" s="1"/>
  <c r="U60" i="21"/>
  <c r="R84" i="19"/>
  <c r="Q89" i="19" s="1"/>
  <c r="X62" i="17"/>
  <c r="R87" i="21"/>
  <c r="R89" i="20"/>
  <c r="Q87" i="20"/>
  <c r="Q87" i="19"/>
  <c r="U59" i="21"/>
  <c r="V53" i="21"/>
  <c r="V70" i="21"/>
  <c r="V70" i="19"/>
  <c r="V70" i="20"/>
  <c r="V53" i="20"/>
  <c r="U59" i="20"/>
  <c r="V54" i="20"/>
  <c r="U60" i="20"/>
  <c r="U59" i="19"/>
  <c r="V53" i="19"/>
  <c r="U73" i="21"/>
  <c r="U79" i="21"/>
  <c r="U24" i="21"/>
  <c r="V24" i="21" s="1"/>
  <c r="V101" i="21" s="1"/>
  <c r="T101" i="21"/>
  <c r="S84" i="21"/>
  <c r="R89" i="21" s="1"/>
  <c r="U54" i="19"/>
  <c r="U24" i="19"/>
  <c r="V24" i="19" s="1"/>
  <c r="T101" i="19"/>
  <c r="X88" i="19"/>
  <c r="X86" i="19"/>
  <c r="P89" i="19"/>
  <c r="V53" i="18"/>
  <c r="U59" i="18"/>
  <c r="T101" i="18"/>
  <c r="U24" i="18"/>
  <c r="V24" i="18" s="1"/>
  <c r="V101" i="18" s="1"/>
  <c r="U60" i="17"/>
  <c r="V54" i="17"/>
  <c r="T60" i="17" s="1"/>
  <c r="V70" i="17"/>
  <c r="V70" i="18"/>
  <c r="R60" i="18"/>
  <c r="T54" i="18"/>
  <c r="S60" i="18" s="1"/>
  <c r="X56" i="18"/>
  <c r="V62" i="18" s="1"/>
  <c r="T62" i="18"/>
  <c r="T84" i="18"/>
  <c r="S89" i="18" s="1"/>
  <c r="U73" i="18"/>
  <c r="U79" i="18"/>
  <c r="U24" i="17"/>
  <c r="V24" i="17" s="1"/>
  <c r="V101" i="17" s="1"/>
  <c r="T101" i="17"/>
  <c r="V53" i="17"/>
  <c r="U59" i="17"/>
  <c r="U73" i="17"/>
  <c r="U79" i="17"/>
  <c r="S87" i="18"/>
  <c r="U82" i="18"/>
  <c r="T84" i="17"/>
  <c r="R89" i="18"/>
  <c r="X86" i="18"/>
  <c r="Q89" i="13"/>
  <c r="S84" i="13"/>
  <c r="X54" i="13"/>
  <c r="V60" i="13" s="1"/>
  <c r="T60" i="13"/>
  <c r="T101" i="13"/>
  <c r="U24" i="13"/>
  <c r="V24" i="13" s="1"/>
  <c r="V101" i="13" s="1"/>
  <c r="V53" i="13"/>
  <c r="U59" i="13"/>
  <c r="V56" i="13"/>
  <c r="T62" i="13" s="1"/>
  <c r="U62" i="13"/>
  <c r="T73" i="13"/>
  <c r="T79" i="13"/>
  <c r="V69" i="12"/>
  <c r="V71" i="12" s="1"/>
  <c r="V70" i="13"/>
  <c r="U72" i="13"/>
  <c r="T82" i="13"/>
  <c r="V81" i="13"/>
  <c r="U86" i="13"/>
  <c r="P47" i="5"/>
  <c r="P49" i="5" s="1"/>
  <c r="P50" i="5" s="1"/>
  <c r="R109" i="12"/>
  <c r="Q24" i="5"/>
  <c r="Q47" i="5" s="1"/>
  <c r="Q49" i="5" s="1"/>
  <c r="S85" i="12"/>
  <c r="U80" i="12"/>
  <c r="U78" i="12"/>
  <c r="U72" i="12"/>
  <c r="T83" i="12"/>
  <c r="S88" i="12" s="1"/>
  <c r="T100" i="12"/>
  <c r="R81" i="12"/>
  <c r="R88" i="12"/>
  <c r="T58" i="12"/>
  <c r="T53" i="12"/>
  <c r="U53" i="12" s="1"/>
  <c r="S55" i="12"/>
  <c r="R59" i="12"/>
  <c r="U12" i="5"/>
  <c r="V22" i="5"/>
  <c r="V35" i="3"/>
  <c r="U40" i="3"/>
  <c r="T41" i="3" s="1"/>
  <c r="V16" i="3"/>
  <c r="H3" i="2"/>
  <c r="G15" i="2"/>
  <c r="G39" i="2"/>
  <c r="D17" i="2"/>
  <c r="S28" i="5"/>
  <c r="R29" i="5" s="1"/>
  <c r="V12" i="5"/>
  <c r="S23" i="5"/>
  <c r="V27" i="5"/>
  <c r="F40" i="2"/>
  <c r="F63" i="22" s="1"/>
  <c r="F16" i="2"/>
  <c r="E17" i="2" s="1"/>
  <c r="E71" i="22" l="1"/>
  <c r="E72" i="22" s="1"/>
  <c r="E64" i="22"/>
  <c r="F71" i="22"/>
  <c r="F72" i="22" s="1"/>
  <c r="F64" i="22"/>
  <c r="F65" i="22" s="1"/>
  <c r="X62" i="20"/>
  <c r="X54" i="21"/>
  <c r="V60" i="21" s="1"/>
  <c r="X60" i="21" s="1"/>
  <c r="U84" i="20"/>
  <c r="U89" i="20" s="1"/>
  <c r="X54" i="17"/>
  <c r="V60" i="17" s="1"/>
  <c r="X60" i="17" s="1"/>
  <c r="U84" i="17"/>
  <c r="U89" i="17" s="1"/>
  <c r="S89" i="20"/>
  <c r="X62" i="18"/>
  <c r="V100" i="20"/>
  <c r="T59" i="20"/>
  <c r="U60" i="19"/>
  <c r="V54" i="19"/>
  <c r="X54" i="19" s="1"/>
  <c r="V72" i="21"/>
  <c r="X70" i="21"/>
  <c r="W70" i="21"/>
  <c r="V100" i="21"/>
  <c r="T59" i="21"/>
  <c r="U82" i="19"/>
  <c r="V100" i="19"/>
  <c r="X53" i="19"/>
  <c r="V59" i="19" s="1"/>
  <c r="T59" i="19"/>
  <c r="V72" i="19"/>
  <c r="W70" i="19"/>
  <c r="X70" i="19"/>
  <c r="T82" i="20"/>
  <c r="U82" i="21"/>
  <c r="X53" i="21"/>
  <c r="V59" i="21" s="1"/>
  <c r="V76" i="12"/>
  <c r="X53" i="20"/>
  <c r="V59" i="20" s="1"/>
  <c r="V101" i="19"/>
  <c r="Z24" i="19"/>
  <c r="T84" i="21"/>
  <c r="T60" i="20"/>
  <c r="X54" i="20"/>
  <c r="V60" i="20" s="1"/>
  <c r="V72" i="20"/>
  <c r="W70" i="20"/>
  <c r="X70" i="20"/>
  <c r="S84" i="19"/>
  <c r="R89" i="19" s="1"/>
  <c r="T56" i="19"/>
  <c r="S62" i="19" s="1"/>
  <c r="V72" i="18"/>
  <c r="X70" i="18"/>
  <c r="W70" i="18"/>
  <c r="V100" i="18"/>
  <c r="T59" i="18"/>
  <c r="S89" i="17"/>
  <c r="V72" i="17"/>
  <c r="X70" i="17"/>
  <c r="W70" i="17"/>
  <c r="V100" i="17"/>
  <c r="T59" i="17"/>
  <c r="X53" i="17"/>
  <c r="V59" i="17" s="1"/>
  <c r="V82" i="18"/>
  <c r="U87" i="18"/>
  <c r="U54" i="18"/>
  <c r="U84" i="18"/>
  <c r="X53" i="18"/>
  <c r="V59" i="18" s="1"/>
  <c r="X60" i="13"/>
  <c r="V72" i="13"/>
  <c r="W70" i="13"/>
  <c r="X70" i="13"/>
  <c r="W77" i="13"/>
  <c r="U82" i="13"/>
  <c r="T84" i="13"/>
  <c r="S89" i="13" s="1"/>
  <c r="Q50" i="5"/>
  <c r="V86" i="13"/>
  <c r="T86" i="13"/>
  <c r="S87" i="13"/>
  <c r="R89" i="13"/>
  <c r="U73" i="13"/>
  <c r="U79" i="13"/>
  <c r="V100" i="13"/>
  <c r="X53" i="13"/>
  <c r="V59" i="13" s="1"/>
  <c r="T59" i="13"/>
  <c r="X56" i="13"/>
  <c r="V62" i="13" s="1"/>
  <c r="X62" i="13" s="1"/>
  <c r="R24" i="5"/>
  <c r="R47" i="5" s="1"/>
  <c r="R49" i="5" s="1"/>
  <c r="S109" i="12"/>
  <c r="U83" i="12"/>
  <c r="U88" i="12" s="1"/>
  <c r="U85" i="12"/>
  <c r="V80" i="12"/>
  <c r="V85" i="12" s="1"/>
  <c r="U59" i="12"/>
  <c r="V53" i="12"/>
  <c r="T59" i="12" s="1"/>
  <c r="V78" i="12"/>
  <c r="V72" i="12"/>
  <c r="V100" i="12"/>
  <c r="S81" i="12"/>
  <c r="R86" i="12" s="1"/>
  <c r="Q86" i="12"/>
  <c r="T55" i="12"/>
  <c r="R61" i="12"/>
  <c r="S59" i="12"/>
  <c r="V40" i="3"/>
  <c r="U41" i="3" s="1"/>
  <c r="U36" i="3"/>
  <c r="U17" i="3"/>
  <c r="E41" i="2"/>
  <c r="I3" i="2"/>
  <c r="H15" i="2"/>
  <c r="H39" i="2"/>
  <c r="T23" i="5"/>
  <c r="S24" i="5"/>
  <c r="T28" i="5"/>
  <c r="S29" i="5"/>
  <c r="G16" i="2"/>
  <c r="F17" i="2" s="1"/>
  <c r="G40" i="2"/>
  <c r="G63" i="22" s="1"/>
  <c r="G64" i="22" s="1"/>
  <c r="G65" i="22" s="1"/>
  <c r="X59" i="21" l="1"/>
  <c r="E65" i="22"/>
  <c r="G71" i="22"/>
  <c r="G72" i="22" s="1"/>
  <c r="X59" i="17"/>
  <c r="R50" i="5"/>
  <c r="X60" i="20"/>
  <c r="U82" i="20"/>
  <c r="T84" i="19"/>
  <c r="S89" i="19" s="1"/>
  <c r="V73" i="20"/>
  <c r="X72" i="20"/>
  <c r="V79" i="20"/>
  <c r="W72" i="20"/>
  <c r="U84" i="21"/>
  <c r="V73" i="19"/>
  <c r="X72" i="19"/>
  <c r="W72" i="19"/>
  <c r="V79" i="19"/>
  <c r="W79" i="19" s="1"/>
  <c r="L1" i="19" s="1"/>
  <c r="V73" i="21"/>
  <c r="X72" i="21"/>
  <c r="V79" i="21"/>
  <c r="W79" i="21" s="1"/>
  <c r="L1" i="21" s="1"/>
  <c r="W72" i="21"/>
  <c r="U56" i="19"/>
  <c r="U87" i="21"/>
  <c r="V82" i="21"/>
  <c r="V82" i="19"/>
  <c r="U87" i="19"/>
  <c r="S87" i="20"/>
  <c r="S89" i="21"/>
  <c r="X59" i="20"/>
  <c r="V60" i="19"/>
  <c r="T60" i="19"/>
  <c r="X59" i="19"/>
  <c r="V54" i="18"/>
  <c r="T60" i="18" s="1"/>
  <c r="U60" i="18"/>
  <c r="X59" i="18"/>
  <c r="U89" i="18"/>
  <c r="V73" i="17"/>
  <c r="X72" i="17"/>
  <c r="W72" i="17"/>
  <c r="V79" i="17"/>
  <c r="V73" i="18"/>
  <c r="W72" i="18"/>
  <c r="X72" i="18"/>
  <c r="V79" i="18"/>
  <c r="W79" i="18" s="1"/>
  <c r="L1" i="18" s="1"/>
  <c r="T87" i="18"/>
  <c r="V87" i="18"/>
  <c r="X86" i="13"/>
  <c r="U87" i="13"/>
  <c r="V82" i="13"/>
  <c r="U84" i="13"/>
  <c r="X59" i="13"/>
  <c r="V73" i="13"/>
  <c r="X72" i="13"/>
  <c r="W72" i="13"/>
  <c r="V79" i="13"/>
  <c r="W79" i="13" s="1"/>
  <c r="L1" i="13" s="1"/>
  <c r="S47" i="5"/>
  <c r="S49" i="5" s="1"/>
  <c r="T109" i="12"/>
  <c r="V83" i="12"/>
  <c r="V88" i="12" s="1"/>
  <c r="W107" i="12" s="1"/>
  <c r="X107" i="12" s="1"/>
  <c r="S61" i="12"/>
  <c r="U55" i="12"/>
  <c r="T85" i="12"/>
  <c r="X85" i="12" s="1"/>
  <c r="T81" i="12"/>
  <c r="F41" i="2"/>
  <c r="J3" i="2"/>
  <c r="J51" i="2" s="1"/>
  <c r="I15" i="2"/>
  <c r="I39" i="2"/>
  <c r="U28" i="5"/>
  <c r="U23" i="5"/>
  <c r="T24" i="5"/>
  <c r="H16" i="2"/>
  <c r="G17" i="2" s="1"/>
  <c r="H40" i="2"/>
  <c r="G41" i="2" s="1"/>
  <c r="H63" i="22" l="1"/>
  <c r="H64" i="22" s="1"/>
  <c r="S50" i="5"/>
  <c r="X60" i="19"/>
  <c r="U89" i="21"/>
  <c r="V84" i="21"/>
  <c r="V82" i="20"/>
  <c r="U87" i="20"/>
  <c r="V87" i="19"/>
  <c r="T87" i="19"/>
  <c r="V87" i="21"/>
  <c r="T87" i="21"/>
  <c r="V56" i="19"/>
  <c r="X56" i="19" s="1"/>
  <c r="U62" i="19"/>
  <c r="W79" i="20"/>
  <c r="L1" i="20" s="1"/>
  <c r="V84" i="20"/>
  <c r="U84" i="19"/>
  <c r="V84" i="18"/>
  <c r="V89" i="18" s="1"/>
  <c r="W108" i="18" s="1"/>
  <c r="X108" i="18" s="1"/>
  <c r="W79" i="17"/>
  <c r="L1" i="17" s="1"/>
  <c r="V84" i="17"/>
  <c r="X54" i="18"/>
  <c r="V60" i="18" s="1"/>
  <c r="X60" i="18" s="1"/>
  <c r="X87" i="18"/>
  <c r="U89" i="13"/>
  <c r="V84" i="13"/>
  <c r="V87" i="13"/>
  <c r="T87" i="13"/>
  <c r="U109" i="12"/>
  <c r="T88" i="12"/>
  <c r="U61" i="12"/>
  <c r="V55" i="12"/>
  <c r="T61" i="12" s="1"/>
  <c r="S86" i="12"/>
  <c r="U81" i="12"/>
  <c r="W76" i="12"/>
  <c r="X54" i="12"/>
  <c r="V60" i="12" s="1"/>
  <c r="W69" i="12"/>
  <c r="X69" i="12"/>
  <c r="K3" i="2"/>
  <c r="K51" i="2" s="1"/>
  <c r="G52" i="2" s="1"/>
  <c r="J15" i="2"/>
  <c r="J39" i="2"/>
  <c r="V23" i="5"/>
  <c r="U24" i="5"/>
  <c r="V28" i="5"/>
  <c r="U29" i="5"/>
  <c r="I16" i="2"/>
  <c r="H17" i="2" s="1"/>
  <c r="I40" i="2"/>
  <c r="I63" i="22" s="1"/>
  <c r="I71" i="22" l="1"/>
  <c r="I72" i="22" s="1"/>
  <c r="I64" i="22"/>
  <c r="I65" i="22" s="1"/>
  <c r="H65" i="22"/>
  <c r="H71" i="22"/>
  <c r="H72" i="22" s="1"/>
  <c r="X87" i="21"/>
  <c r="T89" i="20"/>
  <c r="V89" i="20"/>
  <c r="W108" i="20" s="1"/>
  <c r="X108" i="20" s="1"/>
  <c r="U89" i="19"/>
  <c r="V84" i="19"/>
  <c r="V62" i="19"/>
  <c r="T62" i="19"/>
  <c r="X87" i="19"/>
  <c r="V89" i="21"/>
  <c r="W108" i="21" s="1"/>
  <c r="X108" i="21" s="1"/>
  <c r="T89" i="21"/>
  <c r="V87" i="20"/>
  <c r="T87" i="20"/>
  <c r="T89" i="18"/>
  <c r="X89" i="18" s="1"/>
  <c r="V89" i="17"/>
  <c r="W108" i="17" s="1"/>
  <c r="X108" i="17" s="1"/>
  <c r="T89" i="17"/>
  <c r="V89" i="13"/>
  <c r="W108" i="13" s="1"/>
  <c r="X108" i="13" s="1"/>
  <c r="T89" i="13"/>
  <c r="X87" i="13"/>
  <c r="U47" i="5"/>
  <c r="U49" i="5" s="1"/>
  <c r="V109" i="12"/>
  <c r="U86" i="12"/>
  <c r="V81" i="12"/>
  <c r="X87" i="12"/>
  <c r="W78" i="12"/>
  <c r="X60" i="12"/>
  <c r="W71" i="12"/>
  <c r="X71" i="12"/>
  <c r="H41" i="2"/>
  <c r="L3" i="2"/>
  <c r="K15" i="2"/>
  <c r="K39" i="2"/>
  <c r="X6" i="5"/>
  <c r="V29" i="5"/>
  <c r="V24" i="5"/>
  <c r="J16" i="2"/>
  <c r="I17" i="2" s="1"/>
  <c r="J40" i="2"/>
  <c r="I41" i="2" s="1"/>
  <c r="X87" i="20" l="1"/>
  <c r="J63" i="22"/>
  <c r="X62" i="19"/>
  <c r="X89" i="21"/>
  <c r="X89" i="20"/>
  <c r="V89" i="19"/>
  <c r="W108" i="19" s="1"/>
  <c r="X108" i="19" s="1"/>
  <c r="T89" i="19"/>
  <c r="X89" i="17"/>
  <c r="X89" i="13"/>
  <c r="V47" i="5"/>
  <c r="V49" i="5" s="1"/>
  <c r="W109" i="12"/>
  <c r="V86" i="12"/>
  <c r="T86" i="12"/>
  <c r="X52" i="12"/>
  <c r="W6" i="5"/>
  <c r="M3" i="2"/>
  <c r="L15" i="2"/>
  <c r="L39" i="2"/>
  <c r="W16" i="5"/>
  <c r="K16" i="2"/>
  <c r="J17" i="2" s="1"/>
  <c r="K40" i="2"/>
  <c r="J41" i="2" s="1"/>
  <c r="J71" i="22" l="1"/>
  <c r="J72" i="22" s="1"/>
  <c r="J64" i="22"/>
  <c r="K63" i="22"/>
  <c r="K64" i="22" s="1"/>
  <c r="K65" i="22" s="1"/>
  <c r="X89" i="19"/>
  <c r="W110" i="12"/>
  <c r="C111" i="12"/>
  <c r="V58" i="12"/>
  <c r="X58" i="12" s="1"/>
  <c r="X18" i="5"/>
  <c r="X16" i="5"/>
  <c r="N3" i="2"/>
  <c r="M15" i="2"/>
  <c r="M39" i="2"/>
  <c r="L16" i="2"/>
  <c r="L40" i="2"/>
  <c r="K41" i="2" s="1"/>
  <c r="J65" i="22" l="1"/>
  <c r="L63" i="22"/>
  <c r="L64" i="22" s="1"/>
  <c r="L65" i="22" s="1"/>
  <c r="C112" i="12"/>
  <c r="T110" i="12"/>
  <c r="P110" i="12"/>
  <c r="L110" i="12"/>
  <c r="H110" i="12"/>
  <c r="D110" i="12"/>
  <c r="U110" i="12"/>
  <c r="Q110" i="12"/>
  <c r="M110" i="12"/>
  <c r="I110" i="12"/>
  <c r="E110" i="12"/>
  <c r="O110" i="12"/>
  <c r="G110" i="12"/>
  <c r="V110" i="12"/>
  <c r="R110" i="12"/>
  <c r="N110" i="12"/>
  <c r="J110" i="12"/>
  <c r="F110" i="12"/>
  <c r="B110" i="12"/>
  <c r="S110" i="12"/>
  <c r="K110" i="12"/>
  <c r="C110" i="12"/>
  <c r="X88" i="12"/>
  <c r="X53" i="12"/>
  <c r="V59" i="12" s="1"/>
  <c r="W18" i="5"/>
  <c r="W21" i="5"/>
  <c r="X20" i="5"/>
  <c r="O3" i="2"/>
  <c r="N15" i="2"/>
  <c r="N39" i="2"/>
  <c r="W4" i="5"/>
  <c r="X7" i="5"/>
  <c r="X4" i="5"/>
  <c r="K17" i="2"/>
  <c r="M16" i="2"/>
  <c r="L17" i="2" s="1"/>
  <c r="M40" i="2"/>
  <c r="W64" i="22" l="1"/>
  <c r="X64" i="22"/>
  <c r="X65" i="22"/>
  <c r="W65" i="22"/>
  <c r="L71" i="22"/>
  <c r="L72" i="22" s="1"/>
  <c r="W63" i="22"/>
  <c r="X63" i="22"/>
  <c r="G111" i="12"/>
  <c r="X59" i="12"/>
  <c r="X55" i="12"/>
  <c r="V61" i="12" s="1"/>
  <c r="X9" i="5"/>
  <c r="L41" i="2"/>
  <c r="P3" i="2"/>
  <c r="O15" i="2"/>
  <c r="O39" i="2"/>
  <c r="Q18" i="2"/>
  <c r="W10" i="5"/>
  <c r="X28" i="5" s="1"/>
  <c r="T29" i="5" s="1"/>
  <c r="T47" i="5" s="1"/>
  <c r="W7" i="5"/>
  <c r="N16" i="2"/>
  <c r="M17" i="2" s="1"/>
  <c r="N40" i="2"/>
  <c r="Y64" i="22" l="1"/>
  <c r="T49" i="5"/>
  <c r="X47" i="5"/>
  <c r="X86" i="12"/>
  <c r="X61" i="12"/>
  <c r="X17" i="3"/>
  <c r="M41" i="2"/>
  <c r="Q3" i="2"/>
  <c r="P15" i="2"/>
  <c r="P39" i="2"/>
  <c r="W27" i="5"/>
  <c r="W26" i="5"/>
  <c r="X26" i="5"/>
  <c r="O40" i="2"/>
  <c r="N41" i="2" s="1"/>
  <c r="O16" i="2"/>
  <c r="T50" i="5" l="1"/>
  <c r="U50" i="5" s="1"/>
  <c r="V50" i="5" s="1"/>
  <c r="W50" i="5" s="1"/>
  <c r="C52" i="5" s="1"/>
  <c r="X49" i="5"/>
  <c r="X36" i="3"/>
  <c r="Q15" i="2"/>
  <c r="R3" i="2"/>
  <c r="Q39" i="2"/>
  <c r="N17" i="2"/>
  <c r="P16" i="2"/>
  <c r="P40" i="2"/>
  <c r="O41" i="2" s="1"/>
  <c r="O51" i="5" l="1"/>
  <c r="C53" i="5"/>
  <c r="T51" i="5"/>
  <c r="D51" i="5"/>
  <c r="U51" i="5"/>
  <c r="E51" i="5"/>
  <c r="W51" i="5"/>
  <c r="S51" i="5"/>
  <c r="C51" i="5"/>
  <c r="F51" i="5"/>
  <c r="H51" i="5"/>
  <c r="B51" i="5"/>
  <c r="I51" i="5"/>
  <c r="G51" i="5"/>
  <c r="N51" i="5"/>
  <c r="L51" i="5"/>
  <c r="J51" i="5"/>
  <c r="M51" i="5"/>
  <c r="K51" i="5"/>
  <c r="R51" i="5"/>
  <c r="P51" i="5"/>
  <c r="V51" i="5"/>
  <c r="Q51" i="5"/>
  <c r="X41" i="3"/>
  <c r="R15" i="2"/>
  <c r="S3" i="2"/>
  <c r="R39" i="2"/>
  <c r="Q16" i="2"/>
  <c r="P17" i="2" s="1"/>
  <c r="O17" i="2"/>
  <c r="Q40" i="2"/>
  <c r="P41" i="2" s="1"/>
  <c r="G52" i="5" l="1"/>
  <c r="S15" i="2"/>
  <c r="T3" i="2"/>
  <c r="S39" i="2"/>
  <c r="R16" i="2"/>
  <c r="Q17" i="2" s="1"/>
  <c r="X29" i="5"/>
  <c r="R40" i="2"/>
  <c r="Q41" i="2" s="1"/>
  <c r="X40" i="2"/>
  <c r="S40" i="2" l="1"/>
  <c r="T15" i="2"/>
  <c r="U3" i="2"/>
  <c r="T39" i="2"/>
  <c r="S16" i="2"/>
  <c r="R17" i="2" s="1"/>
  <c r="T40" i="2" l="1"/>
  <c r="R41" i="2"/>
  <c r="T16" i="2"/>
  <c r="U15" i="2"/>
  <c r="V3" i="2"/>
  <c r="U39" i="2"/>
  <c r="S41" i="2" l="1"/>
  <c r="U40" i="2"/>
  <c r="T41" i="2" s="1"/>
  <c r="U16" i="2"/>
  <c r="V15" i="2"/>
  <c r="V39" i="2"/>
  <c r="S17" i="2"/>
  <c r="V40" i="2" l="1"/>
  <c r="U41" i="2" s="1"/>
  <c r="V16" i="2"/>
  <c r="U17" i="2" s="1"/>
  <c r="T17" i="2"/>
  <c r="W15" i="2" l="1"/>
  <c r="W39" i="2"/>
  <c r="K57" i="2" l="1"/>
  <c r="K56" i="2"/>
  <c r="X17" i="2"/>
  <c r="X41" i="2" l="1"/>
  <c r="X36" i="2"/>
  <c r="K71" i="22" l="1"/>
  <c r="K72" i="22" s="1"/>
  <c r="W72" i="22" l="1"/>
  <c r="X72" i="22"/>
  <c r="X71" i="22"/>
  <c r="Y71" i="22" s="1"/>
  <c r="W71" i="22"/>
  <c r="X69" i="22"/>
  <c r="W69" i="22"/>
</calcChain>
</file>

<file path=xl/sharedStrings.xml><?xml version="1.0" encoding="utf-8"?>
<sst xmlns="http://schemas.openxmlformats.org/spreadsheetml/2006/main" count="1797" uniqueCount="505">
  <si>
    <t>Позиция участника 1 (Селекционер):</t>
  </si>
  <si>
    <t>без проекта</t>
  </si>
  <si>
    <t>выведение сорта по традиционной технологии</t>
  </si>
  <si>
    <t>с проектом:</t>
  </si>
  <si>
    <t>инвестиции</t>
  </si>
  <si>
    <t>текущие затраты + затраты на выкуп семян</t>
  </si>
  <si>
    <t>выручка от реализации семян в хозяйства</t>
  </si>
  <si>
    <t>Позиция участника 2 (Производитель семян):</t>
  </si>
  <si>
    <t>???</t>
  </si>
  <si>
    <t>текущие затраты</t>
  </si>
  <si>
    <t>выручка от реализации семян селекционеру</t>
  </si>
  <si>
    <t>Позиция участника 3 (Производитель овощей):</t>
  </si>
  <si>
    <t>импортные семена</t>
  </si>
  <si>
    <t>покупка отечественных семян по 50 тыс. руб.</t>
  </si>
  <si>
    <t>выручка от реализации товарных овощей</t>
  </si>
  <si>
    <t>все денежные потоки, начиная от инвестиций в селекцию и заканчивая товарными овощами</t>
  </si>
  <si>
    <t>Стоит ли вкладывать в селекцию с позиции экономики страны?</t>
  </si>
  <si>
    <t>внутренние передачи - трансферты</t>
  </si>
  <si>
    <t>Эффект от проекта в целом</t>
  </si>
  <si>
    <t>Участники проекта</t>
  </si>
  <si>
    <t>1-"селекционеры"</t>
  </si>
  <si>
    <t>Поступления для покрытия расходов на НИР из всех источников в течение 10-15 лет</t>
  </si>
  <si>
    <t>Чистые поступления от выкупа и продажи семян, произведённых по авторской технологии на основе традиционных приёмов нИР</t>
  </si>
  <si>
    <t>Ситуция "Без проекта" - т.е. без закупки и освоения нового оборудования для селекционнной работы</t>
  </si>
  <si>
    <t>Расходы на НИР, выполненные на основе традиционных приёмов, в течение тех же 10-15 лет</t>
  </si>
  <si>
    <t>Расходы на деятельность по выкупу и продаже семян, произведённых по авторской технологии (например, в динамике с 11-го года)</t>
  </si>
  <si>
    <t>при 100% мощности</t>
  </si>
  <si>
    <t>кг</t>
  </si>
  <si>
    <t xml:space="preserve">     цена выкупа, руб./кг</t>
  </si>
  <si>
    <t>Всего при выходе на проектную мощность, тыс. руб.</t>
  </si>
  <si>
    <t>Чистые поступления от производственно-сбытовой деятельности за вычетом необходимых затрат</t>
  </si>
  <si>
    <t xml:space="preserve">  (с момента начала производственно-сбытовой деятельности, например с 11-го года в динамике)  = цена продаж, руб./кг</t>
  </si>
  <si>
    <t xml:space="preserve">Разница: продажа - выкуп в расчёте на 1 кг продукции, </t>
  </si>
  <si>
    <t>Ситуция "с проектом" - т.е. при переходе на новую технлогию селекционнной работы на новом оборудовании</t>
  </si>
  <si>
    <t>Инвестиционные затраты на переход к новой технологии НИР в селекционной работе</t>
  </si>
  <si>
    <t>Расходы на НИР, выполненные на основе новой технологии, в течение тех же 10-15 лет</t>
  </si>
  <si>
    <t>Поступления для покрытия расходов на НИР из всех источников в течение 10-15 лет, тыс. руб.</t>
  </si>
  <si>
    <r>
      <t xml:space="preserve">  (с момента начала производственно-сбытовой деятельности, например с 11-го года в динамике) </t>
    </r>
    <r>
      <rPr>
        <sz val="14"/>
        <color rgb="FFFF0000"/>
        <rFont val="Calibri"/>
        <family val="2"/>
        <charset val="204"/>
        <scheme val="minor"/>
      </rPr>
      <t xml:space="preserve"> = цена продаж, руб./к</t>
    </r>
    <r>
      <rPr>
        <sz val="14"/>
        <color theme="1"/>
        <rFont val="Calibri"/>
        <family val="2"/>
        <charset val="204"/>
        <scheme val="minor"/>
      </rPr>
      <t>г</t>
    </r>
  </si>
  <si>
    <t>Rate =</t>
  </si>
  <si>
    <t>Итого</t>
  </si>
  <si>
    <t>PV</t>
  </si>
  <si>
    <t>Накопленное сальдо</t>
  </si>
  <si>
    <t>то же нараст итогом</t>
  </si>
  <si>
    <t>ПФ =</t>
  </si>
  <si>
    <t>IRR =</t>
  </si>
  <si>
    <t>ДПП-1 "Селекционеры"</t>
  </si>
  <si>
    <t>Прирост чистых выгод</t>
  </si>
  <si>
    <t>Дисконтир. ПЧВ</t>
  </si>
  <si>
    <t xml:space="preserve"> &lt;- NPV</t>
  </si>
  <si>
    <t>T окуп =</t>
  </si>
  <si>
    <t>Дисконтированные чистые выгоды (сальдо)</t>
  </si>
  <si>
    <t>PI =</t>
  </si>
  <si>
    <t>Вывод: Для "селекционеров" переход к новым методам НИР эффективен и реализуем при условиях условии финансирования на общую сумму =</t>
  </si>
  <si>
    <t>Прогноз инфляции МЭР</t>
  </si>
  <si>
    <t>https://cbr.ru/hd_base/keyrate/</t>
  </si>
  <si>
    <t>В России в 2022 году инфляция ожидается в районе 4% / Новости от 18.11.2021 15:24</t>
  </si>
  <si>
    <t>https://iz.ru/1251757/2021-11-18/tcb-rf-podtverdil-svoi-prognoz-po-infliatcii-na-konetc-2021-goda</t>
  </si>
  <si>
    <t xml:space="preserve">Расчёт Rate проекта (участников проекта) по схеме РСХБ </t>
  </si>
  <si>
    <t>по прогнозу на 2022</t>
  </si>
  <si>
    <t>По текущему состоянию</t>
  </si>
  <si>
    <t>Усредненная оценка</t>
  </si>
  <si>
    <t>Округлённая усредненная оценка</t>
  </si>
  <si>
    <t>Ключевая ставка ЦБ РФ на 23.11.2021</t>
  </si>
  <si>
    <t>Фактическая инфляция  на ноябрь 2021 года</t>
  </si>
  <si>
    <t>Продолжительность и структура расчётного периода (всего), лет</t>
  </si>
  <si>
    <t xml:space="preserve">    в т.ч. 1-10-й годы на разработку нового сорта традиционными методами селекции</t>
  </si>
  <si>
    <t>То же при переходе на новую технологию НИР (НИР-1А)</t>
  </si>
  <si>
    <t xml:space="preserve">    в т.ч. 1-8-й годы на разработку нового сорта новыми методами селекции на новом оборудовании (НИР-1А)</t>
  </si>
  <si>
    <t xml:space="preserve">   в т.ч. приобретение и освоение новой технологии НИР</t>
  </si>
  <si>
    <t>1-3 гг</t>
  </si>
  <si>
    <t>1-8 гг</t>
  </si>
  <si>
    <t>9-18 гг</t>
  </si>
  <si>
    <t xml:space="preserve"> 1-10 гг</t>
  </si>
  <si>
    <t xml:space="preserve"> 11-18 гг</t>
  </si>
  <si>
    <r>
      <t xml:space="preserve">       11-18 гг.</t>
    </r>
    <r>
      <rPr>
        <sz val="10"/>
        <color theme="1"/>
        <rFont val="Calibri"/>
        <family val="2"/>
        <charset val="204"/>
        <scheme val="minor"/>
      </rPr>
      <t xml:space="preserve"> параллельно с другими НИР-2, 3, 4 … (не учитываются при оценке эффекта от НИР-1 и НИР-1А),  осуществляется товарное производство с семенами гибрида, полученного при НИР-1 </t>
    </r>
  </si>
  <si>
    <t xml:space="preserve">       9-18 гг. параллельно с другими НИР-2, 3, 4 … (не учитываются при оценке эффекта от НИР-1 и 1А),  осуществляется товарное производство с семенами гибрида, полученного при НИР-1А</t>
  </si>
  <si>
    <t>Приобретение семян импортных гибридов</t>
  </si>
  <si>
    <t>Прочие расходы на производство капусты</t>
  </si>
  <si>
    <t>Выручка от реализации капусты</t>
  </si>
  <si>
    <t>Отношение: чистые выгоды / производственно-сбытовые затраты</t>
  </si>
  <si>
    <t>Чистые выгоды (сальдо)  от товарного производства</t>
  </si>
  <si>
    <t>Вывод: Деятельность предприятий, производящих товарную продукцию в ситуации "без проекта" эффективна и реализуема</t>
  </si>
  <si>
    <t>Х</t>
  </si>
  <si>
    <t>Приобретение семян</t>
  </si>
  <si>
    <t xml:space="preserve">Вывод: Для товарного производства переход к новым к семенам отечественной селекции - результатом традиционной НИР1 эффектиен и реализуем </t>
  </si>
  <si>
    <t>ЧВ селекционера</t>
  </si>
  <si>
    <t>ЧВ товарное производство</t>
  </si>
  <si>
    <t>ЧВ семеновод</t>
  </si>
  <si>
    <t xml:space="preserve">Итого ЧВ </t>
  </si>
  <si>
    <t>Инвестиционная деятельность</t>
  </si>
  <si>
    <t>Уточняем вопросы по вчерашнему  совещанию:</t>
  </si>
  <si>
    <t>Этап</t>
  </si>
  <si>
    <t>Год реализации проекта</t>
  </si>
  <si>
    <t>Затраты на оплату труда*</t>
  </si>
  <si>
    <t>Инвестиции</t>
  </si>
  <si>
    <t>1 год</t>
  </si>
  <si>
    <t>Капитальные=?</t>
  </si>
  <si>
    <t>Лаборатория</t>
  </si>
  <si>
    <t>2 год</t>
  </si>
  <si>
    <t>Текущие = ?</t>
  </si>
  <si>
    <t>=1*50*12*1,3=780 в год</t>
  </si>
  <si>
    <t>Размножение родительских линий</t>
  </si>
  <si>
    <t>3,4 годы</t>
  </si>
  <si>
    <t>=2*40*12*1,3=1248 в год</t>
  </si>
  <si>
    <t>Получение (выбор?) F1</t>
  </si>
  <si>
    <t>4, 5 годы</t>
  </si>
  <si>
    <t>?</t>
  </si>
  <si>
    <t>Госкомиссия, получение патента</t>
  </si>
  <si>
    <t>6, 7 годы</t>
  </si>
  <si>
    <t>0?</t>
  </si>
  <si>
    <t>Передача материала родительских линий в производство</t>
  </si>
  <si>
    <t>8 год</t>
  </si>
  <si>
    <t>*Затраты на оплату труда НИР: этап «Лаборатория» - 1 чел. 50 тыс.руб./мес., этап «Размножение родительских линий» - 2 чел.. по 40 тыс.руб./мес.</t>
  </si>
  <si>
    <t>Затраты капитальные / текущие, кроме оплаты труда</t>
  </si>
  <si>
    <t>12-14 лет</t>
  </si>
  <si>
    <t>1.  Сумма ежегодных текущих затрат на получение родительских линий</t>
  </si>
  <si>
    <t xml:space="preserve">    по традиционной технологии – одной суммой или заработная плата + прочие</t>
  </si>
  <si>
    <t xml:space="preserve">2. Сумма инвестиций на внедрение новой технологии (биотехнологии), </t>
  </si>
  <si>
    <t xml:space="preserve">   при которой срок получения родительских линий составит 1-2 год затраты</t>
  </si>
  <si>
    <t>1-2 года</t>
  </si>
  <si>
    <t xml:space="preserve">   одной суммой или оборудование+прочие единовременные </t>
  </si>
  <si>
    <t>тыс. руб.</t>
  </si>
  <si>
    <t xml:space="preserve">3. Сумма ежегодных текущих затрат на получение родительских линий  по новой технологии </t>
  </si>
  <si>
    <t>вчера прозвучала цифра 300 тыс. руб. в год + оплата труда.</t>
  </si>
  <si>
    <r>
      <t xml:space="preserve">4. Этапы получения </t>
    </r>
    <r>
      <rPr>
        <sz val="11"/>
        <color rgb="FFFF0000"/>
        <rFont val="Calibri"/>
        <family val="2"/>
        <charset val="204"/>
        <scheme val="minor"/>
      </rPr>
      <t>нового сорта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по новой технологии</t>
    </r>
    <r>
      <rPr>
        <sz val="11"/>
        <color theme="1"/>
        <rFont val="Calibri"/>
        <family val="2"/>
        <charset val="204"/>
        <scheme val="minor"/>
      </rPr>
      <t xml:space="preserve"> и затраты:</t>
    </r>
  </si>
  <si>
    <t>всего, тыс. руб.</t>
  </si>
  <si>
    <t>чел.</t>
  </si>
  <si>
    <t>мес.</t>
  </si>
  <si>
    <t>К</t>
  </si>
  <si>
    <t>з/пл /мес</t>
  </si>
  <si>
    <t>см. строки 15 и 17</t>
  </si>
  <si>
    <t>кг семян</t>
  </si>
  <si>
    <t xml:space="preserve">5. На этапе «производство семян» принимаем следующие исходные данные: заказывается производство </t>
  </si>
  <si>
    <t>руб./кг</t>
  </si>
  <si>
    <t xml:space="preserve">цена выкупа </t>
  </si>
  <si>
    <t>года</t>
  </si>
  <si>
    <t>цикл выращивания семян составляет</t>
  </si>
  <si>
    <t xml:space="preserve">6. На этапе «производство овощей» принимаем следующие исходные данные: </t>
  </si>
  <si>
    <t xml:space="preserve">    реализация семян в хозяйства примерно 35 кг в год;</t>
  </si>
  <si>
    <t xml:space="preserve">    норма высева 0,2 кг/ га, </t>
  </si>
  <si>
    <t xml:space="preserve"> средняя урожайность капусты 110 т/га,</t>
  </si>
  <si>
    <t xml:space="preserve">     себестоимость производства 4 руб./кг, </t>
  </si>
  <si>
    <t xml:space="preserve">    средняя цена реализации 15 руб./кг (диапазон 5-30 руб./кг).</t>
  </si>
  <si>
    <t xml:space="preserve">  диапазон 5-30 руб./кг</t>
  </si>
  <si>
    <t>кг/год</t>
  </si>
  <si>
    <t>5-30 руб./кг</t>
  </si>
  <si>
    <t>кг/га</t>
  </si>
  <si>
    <t>т/га</t>
  </si>
  <si>
    <t>га</t>
  </si>
  <si>
    <t>Площадь под производством капусты =</t>
  </si>
  <si>
    <t>Валовое производство капусты</t>
  </si>
  <si>
    <t>тонн</t>
  </si>
  <si>
    <t xml:space="preserve">Выручка с./х. предприятий </t>
  </si>
  <si>
    <t>тыс. руб. в год</t>
  </si>
  <si>
    <t>Себестоимость выращенной капусты</t>
  </si>
  <si>
    <t xml:space="preserve">Прибыль сх предприятий </t>
  </si>
  <si>
    <t>Рентабельность производства капусты</t>
  </si>
  <si>
    <t xml:space="preserve">   в т.ч стоимость импортных семян</t>
  </si>
  <si>
    <t xml:space="preserve">размер прочих прочих затрат </t>
  </si>
  <si>
    <t>Всего  себестоимость (отеч.семена)</t>
  </si>
  <si>
    <t>Прибыль (отеч. Семена)</t>
  </si>
  <si>
    <t>При применении отечесвенных семян</t>
  </si>
  <si>
    <t>Прирост прибыли</t>
  </si>
  <si>
    <t>в т. ч. за счет разницы в ценах на семена</t>
  </si>
  <si>
    <t>Принимем 14</t>
  </si>
  <si>
    <t>Пока произвольное число</t>
  </si>
  <si>
    <t>затраты "Селекионера" на выкуп семян</t>
  </si>
  <si>
    <t>кг / год</t>
  </si>
  <si>
    <t>тыс. руб./кг</t>
  </si>
  <si>
    <t>Выручка селекционера при продаже семян</t>
  </si>
  <si>
    <t>Пока принято = 1/8 от размножения линий</t>
  </si>
  <si>
    <t>Пока принято =1/10 от размножения линий</t>
  </si>
  <si>
    <t>3. Сумма ежегодных текущих затрат на получение родительских линий  по новой технологии – вчера прозвучала цифра 300 тыс. руб. в год + оплата труда.</t>
  </si>
  <si>
    <t>4. Этапы получения нового сорта по новой технологии и затраты:</t>
  </si>
  <si>
    <t>Затраты капитальные/текущие, кроме оплаты труда</t>
  </si>
  <si>
    <t>Лаборатория. Производство удвоенных гаплоидов</t>
  </si>
  <si>
    <t>Расходники 300 тыс. р. + постоянные</t>
  </si>
  <si>
    <t>В год</t>
  </si>
  <si>
    <t>=1*120*12*1,3=780 в год</t>
  </si>
  <si>
    <t>Размножение родительских линий и гибридизация с целью оценить комбинационную способность</t>
  </si>
  <si>
    <t>Постоянные – 950 000 р.+ переменные на производство 1,2 кг семян 15000 р.</t>
  </si>
  <si>
    <t>Отбор перспективных гибридных комбинаций F1</t>
  </si>
  <si>
    <t>Переменные 36000 р. Постоянные 20000 р</t>
  </si>
  <si>
    <t>6300 р однократно</t>
  </si>
  <si>
    <t>-</t>
  </si>
  <si>
    <r>
      <t>8 год</t>
    </r>
    <r>
      <rPr>
        <sz val="8"/>
        <color theme="1"/>
        <rFont val="Calibri"/>
        <family val="2"/>
        <charset val="204"/>
        <scheme val="minor"/>
      </rPr>
      <t> </t>
    </r>
  </si>
  <si>
    <t>*Затраты на оплату труда НИР: этап «Лаборатория» - 1 чел. 120 тыс.руб./мес., этап «Размножение родительских линий» - 2 чел.. по 50 тыс.руб./мес. + 1 чел 120 тыс.руб</t>
  </si>
  <si>
    <t>5. На этапе «производство семян» принимаем следующие исходные данные: заказывается производство 500 кг семян, цена выкупа 4000 руб./кг., цикл выращивания семян составляет 2 года.</t>
  </si>
  <si>
    <r>
      <t> </t>
    </r>
    <r>
      <rPr>
        <sz val="10"/>
        <color theme="1"/>
        <rFont val="Calibri"/>
        <family val="2"/>
        <charset val="204"/>
        <scheme val="minor"/>
      </rPr>
      <t>3 этапа выделенные голубым общие для ситуации с проектом и без проекта</t>
    </r>
  </si>
  <si>
    <r>
      <t>1.</t>
    </r>
    <r>
      <rPr>
        <sz val="11"/>
        <color theme="1"/>
        <rFont val="Calibri"/>
        <family val="2"/>
        <charset val="204"/>
        <scheme val="minor"/>
      </rPr>
      <t>Сумма ежегодных текущих затрат на получение родительских линий (10-12 лет) по традиционной технологии – одной суммой или заработная плата + прочие</t>
    </r>
  </si>
  <si>
    <t>10-12 лет</t>
  </si>
  <si>
    <t xml:space="preserve"> одной суммой или заработная плата + прочие</t>
  </si>
  <si>
    <t>Постоянные – 950 000 руб.</t>
  </si>
  <si>
    <t xml:space="preserve">  + переменные на производство 1,2 кг семян</t>
  </si>
  <si>
    <t xml:space="preserve">  + ЗП 2 рабочих по 50000 р./мес.  + ЗП научного сотрудника по 120 тыс./мес.</t>
  </si>
  <si>
    <t xml:space="preserve"> + ЗП научного сотрудника по 120 тыс./мес.</t>
  </si>
  <si>
    <t>руб.</t>
  </si>
  <si>
    <t xml:space="preserve">  +  15000 р. </t>
  </si>
  <si>
    <t xml:space="preserve"> 1-2</t>
  </si>
  <si>
    <t>берем 2 года</t>
  </si>
  <si>
    <t xml:space="preserve"> – одной суммой или оборудование+прочие единовременные затраты.  </t>
  </si>
  <si>
    <t xml:space="preserve">    срок получения родительских линий составит 1-2 год </t>
  </si>
  <si>
    <t>2. Сумма инвестиций на внедрение новой технологии (биотехнологии), при которой</t>
  </si>
  <si>
    <t>Итого затрат на получение родительских линий</t>
  </si>
  <si>
    <t>Всего 3-4 годы (размножение родительских линий)</t>
  </si>
  <si>
    <t>Переменные</t>
  </si>
  <si>
    <t>Постоянные</t>
  </si>
  <si>
    <t xml:space="preserve"> + оплата труда </t>
  </si>
  <si>
    <t>Всего 4-5 гг (отбор перспективных комбинаций)</t>
  </si>
  <si>
    <t>1248 если по 40, а не 50</t>
  </si>
  <si>
    <t>Всего 1-й год =</t>
  </si>
  <si>
    <t>Всего 2-й год (Лаборатория)</t>
  </si>
  <si>
    <t>Пока ставим на 6-й год</t>
  </si>
  <si>
    <t>6-й год</t>
  </si>
  <si>
    <t>7-й год</t>
  </si>
  <si>
    <t>Пока планируем затраты в овощеводстве, начиная с года 8, а выручку - с 9-го</t>
  </si>
  <si>
    <t>см. п. 5</t>
  </si>
  <si>
    <t>Размер заказа =</t>
  </si>
  <si>
    <t xml:space="preserve">Цена </t>
  </si>
  <si>
    <t>Как понимаь "цикл"?</t>
  </si>
  <si>
    <t>Б) заказы на 8-й, 10-й, 12-й гг; результаты ежегодно 50%</t>
  </si>
  <si>
    <t>А) заказ на 8-й, 9-й …  год, а результаты на 9-й, 10-й …</t>
  </si>
  <si>
    <t>Пока 12 млн. руб.</t>
  </si>
  <si>
    <t>норма высева 0,2 кг/ га,</t>
  </si>
  <si>
    <t xml:space="preserve"> реализация семян в хозяйства примерно 170 кг в год;</t>
  </si>
  <si>
    <t xml:space="preserve"> средняя урожайность капусты 110 т/га, </t>
  </si>
  <si>
    <t>себестоимость производства 4 руб./кг (в 2021 7-10 р./кг),</t>
  </si>
  <si>
    <t>средняя цена реализации 15 руб./кг (диапазон 5-30 руб./кг). (в 2021 г. 30 р./кг)</t>
  </si>
  <si>
    <t>руб/кг</t>
  </si>
  <si>
    <t>Площадь под капустой</t>
  </si>
  <si>
    <t>валовой сбор капусты</t>
  </si>
  <si>
    <t xml:space="preserve">т </t>
  </si>
  <si>
    <t>выручка от продажи капусты</t>
  </si>
  <si>
    <t>млн. руб.</t>
  </si>
  <si>
    <t>общая себестоимость производства капусты</t>
  </si>
  <si>
    <t>Рентабельность выращивания капусты (отечеств. Семена)</t>
  </si>
  <si>
    <t xml:space="preserve">Прибыль </t>
  </si>
  <si>
    <t>потребность в семенах</t>
  </si>
  <si>
    <t>Цена семян отечественной селекции</t>
  </si>
  <si>
    <t>Затраты на семена (отечеств. Селекция)</t>
  </si>
  <si>
    <t>Цена на импортные гибриды</t>
  </si>
  <si>
    <t>В составе себестоимости затраты на импортные гибриды</t>
  </si>
  <si>
    <t>тыс. руб/кг</t>
  </si>
  <si>
    <t>Себестоимость производства на основе импортных гибридов</t>
  </si>
  <si>
    <t>Рентабельность капусты (импортные гибриды)</t>
  </si>
  <si>
    <t>Прибыль (импортные гибриды)</t>
  </si>
  <si>
    <t xml:space="preserve">  =2*50*12*1,3=1248 в год +1*120*12*1,3</t>
  </si>
  <si>
    <t xml:space="preserve"> =2*50*12*1,3=1248 в год +1*120*12*1,3</t>
  </si>
  <si>
    <t>Вариант №1 - одной суммой</t>
  </si>
  <si>
    <t>Вариант №2 - по сумме элементов - правильно ли понят расчёт переменных затрат</t>
  </si>
  <si>
    <t>Пока из двух величин выбираем большую (9500 ежегодно- 12 лет)</t>
  </si>
  <si>
    <t>Считаем эти же затраты 13-14 года по традиционной</t>
  </si>
  <si>
    <t>Считаем эти же затраты 15-16 года по традиционной</t>
  </si>
  <si>
    <t>Считаем эти же затраты 17-18 года по традиционной</t>
  </si>
  <si>
    <r>
      <t xml:space="preserve">Вывод: Деятельность нИР с применением новых методов </t>
    </r>
    <r>
      <rPr>
        <b/>
        <sz val="10"/>
        <color rgb="FFFF0000"/>
        <rFont val="Calibri"/>
        <family val="2"/>
        <charset val="204"/>
        <scheme val="minor"/>
      </rPr>
      <t>эффективна и реализуема</t>
    </r>
    <r>
      <rPr>
        <sz val="9"/>
        <color rgb="FFFF0000"/>
        <rFont val="Calibri"/>
        <family val="2"/>
        <charset val="204"/>
        <scheme val="minor"/>
      </rPr>
      <t xml:space="preserve"> при условиях условии финансирования на общую сумму =</t>
    </r>
  </si>
  <si>
    <t>В составе себестоимости Прочие затраты (отеч. Селекция)</t>
  </si>
  <si>
    <t>В составе себестоимости Прочие затраты (импортные семена)</t>
  </si>
  <si>
    <t>ДПП-3 "Товарное производство"</t>
  </si>
  <si>
    <t>Сумма</t>
  </si>
  <si>
    <t>затраты селекционера</t>
  </si>
  <si>
    <t xml:space="preserve">затраты семеноводы </t>
  </si>
  <si>
    <t>затраты товарного производства</t>
  </si>
  <si>
    <t>Сводный "без проекта" (селекция по старой технологии)</t>
  </si>
  <si>
    <t>Всего (сумма)</t>
  </si>
  <si>
    <t>то же за вычетом затрат, покрытых партнёрами</t>
  </si>
  <si>
    <t>Поступления селекционера</t>
  </si>
  <si>
    <t>Поступления семеноводов</t>
  </si>
  <si>
    <t>выручка товарного производства</t>
  </si>
  <si>
    <t>Расчёт ЧВ - селекция</t>
  </si>
  <si>
    <t>Расчёт ЧВ - товарное</t>
  </si>
  <si>
    <t>Расчёт ЧВ - семеноводы</t>
  </si>
  <si>
    <t>ИТОГО - расчёт ЧВ</t>
  </si>
  <si>
    <t>Расчёт по итогам ЧВ= В - З</t>
  </si>
  <si>
    <t>Традиционная технология</t>
  </si>
  <si>
    <t>Затраты</t>
  </si>
  <si>
    <t>Выгоды</t>
  </si>
  <si>
    <t xml:space="preserve">1-12 </t>
  </si>
  <si>
    <t>Отбор F1</t>
  </si>
  <si>
    <t xml:space="preserve">13-14 </t>
  </si>
  <si>
    <t>Госкомиссия</t>
  </si>
  <si>
    <t xml:space="preserve">15-16 </t>
  </si>
  <si>
    <t>Производство семян</t>
  </si>
  <si>
    <t>17-18</t>
  </si>
  <si>
    <t>Реализация семян овощеводам</t>
  </si>
  <si>
    <t>19-30</t>
  </si>
  <si>
    <t>Инновационная технология</t>
  </si>
  <si>
    <t xml:space="preserve">Размножение родительских линий и гибридизация </t>
  </si>
  <si>
    <t xml:space="preserve">6-7 </t>
  </si>
  <si>
    <t>8-9</t>
  </si>
  <si>
    <t>10-30</t>
  </si>
  <si>
    <t>Заказ семян раз в три года</t>
  </si>
  <si>
    <t>Себестоимость при отечественных семенах, всего</t>
  </si>
  <si>
    <t xml:space="preserve">Этап 1. Получение родительских линий </t>
  </si>
  <si>
    <t>Этап 2. Отбор перспективных гибридных комбинаций F1</t>
  </si>
  <si>
    <t>Этап 3. Госкомиссия, получение патента</t>
  </si>
  <si>
    <t>Этап 4.Передача материала родительских линий в производство</t>
  </si>
  <si>
    <t>Без проекта (т. е. разработка нового сорта на  основе традиционных методов НИР)</t>
  </si>
  <si>
    <t xml:space="preserve">Производственно-сбытовая деятельность </t>
  </si>
  <si>
    <t>Сальдо по инвестиционной деятельности</t>
  </si>
  <si>
    <t>Реализация семян</t>
  </si>
  <si>
    <t>Сальдо по производственно-сбытовой деятельности</t>
  </si>
  <si>
    <t>Чистые выгоды "без проекта"</t>
  </si>
  <si>
    <t>С проектом (т. е. разработка нового сорта на  основе инновационных методов НИР)</t>
  </si>
  <si>
    <t>Этап 1. Создание лаборатории</t>
  </si>
  <si>
    <t>Этап 2. Лаборатория. Производство удвоенных гаплоидов</t>
  </si>
  <si>
    <t>Этап 3. Размножение родительских линий и гибридизация с целью оценить комбинационную способность</t>
  </si>
  <si>
    <t>Этап 4. Отбор перспективных гибридных комбинаций F1</t>
  </si>
  <si>
    <t>Этап 5. Госкомиссия, получение патента</t>
  </si>
  <si>
    <t>Этап 6.Передача материала родительских линий в производство</t>
  </si>
  <si>
    <t>Чистые выгоды "c проектом"</t>
  </si>
  <si>
    <t>ДПП-1 "Семеноводческое хозяйство"</t>
  </si>
  <si>
    <r>
      <t xml:space="preserve">Вывод: Деятельность  с применением новых методов </t>
    </r>
    <r>
      <rPr>
        <b/>
        <sz val="10"/>
        <color rgb="FFFF0000"/>
        <rFont val="Calibri"/>
        <family val="2"/>
        <charset val="204"/>
        <scheme val="minor"/>
      </rPr>
      <t>эффективна и реализуема</t>
    </r>
    <r>
      <rPr>
        <sz val="9"/>
        <color rgb="FFFF0000"/>
        <rFont val="Calibri"/>
        <family val="2"/>
        <charset val="204"/>
        <scheme val="minor"/>
      </rPr>
      <t xml:space="preserve"> при условиях условии финансирования на общую сумму =</t>
    </r>
  </si>
  <si>
    <r>
      <t xml:space="preserve">Вывод: Деятельностьс применением традицонных методов </t>
    </r>
    <r>
      <rPr>
        <b/>
        <sz val="12"/>
        <color rgb="FFFF0000"/>
        <rFont val="Calibri"/>
        <family val="2"/>
        <charset val="204"/>
        <scheme val="minor"/>
      </rPr>
      <t xml:space="preserve">эффективна </t>
    </r>
    <r>
      <rPr>
        <sz val="9"/>
        <color rgb="FFFF0000"/>
        <rFont val="Calibri"/>
        <family val="2"/>
        <charset val="204"/>
        <scheme val="minor"/>
      </rPr>
      <t>и реализуема при условиях финансирования на сумму не менее =</t>
    </r>
  </si>
  <si>
    <t>Вывод: Для "семеноводов" участие в проекте эффективно и реализуемо при условиях условии финансирования на общую сумму =</t>
  </si>
  <si>
    <t xml:space="preserve"> 1-18</t>
  </si>
  <si>
    <t>Без проекта (c разработкой нового сорта по традиционной технологии; до этого деятельность основана на импорте семян)</t>
  </si>
  <si>
    <r>
      <t>С проектом (т. е. с появлением семян отечественной селекции при инновационной технологии НИР,до этого деятельность основана на импорте семян</t>
    </r>
    <r>
      <rPr>
        <b/>
        <sz val="11"/>
        <color rgb="FFFF0000"/>
        <rFont val="Calibri"/>
        <family val="2"/>
        <charset val="204"/>
        <scheme val="minor"/>
      </rPr>
      <t>)</t>
    </r>
  </si>
  <si>
    <r>
      <t xml:space="preserve">Накопленное сальдо </t>
    </r>
    <r>
      <rPr>
        <sz val="8"/>
        <color rgb="FFFF0000"/>
        <rFont val="Calibri"/>
        <family val="2"/>
        <charset val="204"/>
        <scheme val="minor"/>
      </rPr>
      <t>(РАСЧЁТ ПО ГОДАМ! УТОЧНИТЬ! ПФ=1600)</t>
    </r>
  </si>
  <si>
    <t>Совпадение / нет</t>
  </si>
  <si>
    <t>Приросты ЧВ</t>
  </si>
  <si>
    <t>Селекционера</t>
  </si>
  <si>
    <t>Товарное производство</t>
  </si>
  <si>
    <t>Семеноводство</t>
  </si>
  <si>
    <t>Прирост ЧВ общий</t>
  </si>
  <si>
    <t>Приросты из расчётов</t>
  </si>
  <si>
    <t>Сумма приростов по табл.</t>
  </si>
  <si>
    <t>Сравнение: из расчёто - из таблиц</t>
  </si>
  <si>
    <t>Сумма по участникам</t>
  </si>
  <si>
    <t>Оценка деятельности "с проектом" (на основе чистых выгод)</t>
  </si>
  <si>
    <t>селекционера</t>
  </si>
  <si>
    <t>товарное овощеводство</t>
  </si>
  <si>
    <t>семеноводство</t>
  </si>
  <si>
    <t>по всем участникам</t>
  </si>
  <si>
    <t xml:space="preserve">   по итоговой строке ЧВ</t>
  </si>
  <si>
    <t>мин НС =</t>
  </si>
  <si>
    <t>Накопленное сальдо "без проекта" (старая технология НИР)</t>
  </si>
  <si>
    <t>Товарное овощеводство</t>
  </si>
  <si>
    <t>В сумме</t>
  </si>
  <si>
    <t>деятельность не реализуема</t>
  </si>
  <si>
    <t>Сводный "с проектом" (селекция по новой технологии)</t>
  </si>
  <si>
    <t>ВЫВОДЫ:</t>
  </si>
  <si>
    <t>то же за вычетом затрат, покрытых партнёрами - ПОКА ОСТАВИЛ КАК БЫЛО</t>
  </si>
  <si>
    <t>Т ок - селекционера</t>
  </si>
  <si>
    <t>Т ок - товарного овощеводства</t>
  </si>
  <si>
    <t>Т ок - семеноводства</t>
  </si>
  <si>
    <t>Т ок - все вместе</t>
  </si>
  <si>
    <t>Т ок - сел</t>
  </si>
  <si>
    <t>Оценка по срокам окупаемости Деятельности "С проектом"</t>
  </si>
  <si>
    <t>Дисконтированные приросты чистых выгод</t>
  </si>
  <si>
    <t>то же нарастающим итогом</t>
  </si>
  <si>
    <t>Сложный процент</t>
  </si>
  <si>
    <t>Оценка сроков окупаемости проектов для участников</t>
  </si>
  <si>
    <t>Структура деятельности "без проекта"</t>
  </si>
  <si>
    <t>1-12 - работа над выведением нового сорта</t>
  </si>
  <si>
    <t xml:space="preserve">13-14 - отбор </t>
  </si>
  <si>
    <r>
      <t>15-16</t>
    </r>
    <r>
      <rPr>
        <sz val="9"/>
        <color theme="1"/>
        <rFont val="Calibri"/>
        <family val="2"/>
        <charset val="204"/>
        <scheme val="minor"/>
      </rPr>
      <t xml:space="preserve"> Госкомиссия</t>
    </r>
  </si>
  <si>
    <t>Заказ семян</t>
  </si>
  <si>
    <t>Структура деятельности "с проектом"</t>
  </si>
  <si>
    <t>Инвест. В оборуд.</t>
  </si>
  <si>
    <t>3-4 Размножение родительских линий и гибридизация</t>
  </si>
  <si>
    <t xml:space="preserve">4-5 Отбор F1 </t>
  </si>
  <si>
    <t>6-7 Госкомиссия</t>
  </si>
  <si>
    <t xml:space="preserve">Заказ семян </t>
  </si>
  <si>
    <t>Производство овощей на основе импортных семян</t>
  </si>
  <si>
    <t>Производство овощей на основе отечественных семян</t>
  </si>
  <si>
    <t>Реализация семян заказчику</t>
  </si>
  <si>
    <t>Накопленное сальдо в ситуации "с проектом" (новая технология НИР)</t>
  </si>
  <si>
    <t>Ежегодный прирост ЧВ селекции</t>
  </si>
  <si>
    <t>то же "без проекта"</t>
  </si>
  <si>
    <t>Селекция: Накопл.сальдо "С проек"</t>
  </si>
  <si>
    <t>Т. е. срок оценки по РСХБ можно брать с 12++ лет</t>
  </si>
  <si>
    <t xml:space="preserve">постоянные затраты </t>
  </si>
  <si>
    <t>переменные затраты, кроме оплаты труда</t>
  </si>
  <si>
    <t>оплата труда без страховых взносов</t>
  </si>
  <si>
    <t>Этап 4. Передача материала родительских линий в производство</t>
  </si>
  <si>
    <t>объем заказа производства семян, кг</t>
  </si>
  <si>
    <t>цена выкупа произведенных семян, тыс.руб./кг</t>
  </si>
  <si>
    <t>объем реализации семян, кг/год</t>
  </si>
  <si>
    <t>цена реализации семян, тыс.руб./кг</t>
  </si>
  <si>
    <t>прочие переменные затраты</t>
  </si>
  <si>
    <t>капитальные вложения</t>
  </si>
  <si>
    <t>Этап 1. Получение родительских линий, размножение и гибридизация</t>
  </si>
  <si>
    <r>
      <t xml:space="preserve">Вывод: Деятельность нИР с применением традицонных методов на данном периоде оценки (21 год) </t>
    </r>
    <r>
      <rPr>
        <b/>
        <i/>
        <u/>
        <sz val="12"/>
        <color rgb="FFFF0000"/>
        <rFont val="Calibri"/>
        <family val="2"/>
        <charset val="204"/>
        <scheme val="minor"/>
      </rPr>
      <t>НЕ</t>
    </r>
    <r>
      <rPr>
        <b/>
        <sz val="12"/>
        <color rgb="FFFF0000"/>
        <rFont val="Calibri"/>
        <family val="2"/>
        <charset val="204"/>
        <scheme val="minor"/>
      </rPr>
      <t xml:space="preserve">эффективна </t>
    </r>
    <r>
      <rPr>
        <sz val="9"/>
        <color rgb="FFFF0000"/>
        <rFont val="Calibri"/>
        <family val="2"/>
        <charset val="204"/>
        <scheme val="minor"/>
      </rPr>
      <t>и реализуема при условиях финансирования на сумму не менее =</t>
    </r>
  </si>
  <si>
    <t xml:space="preserve">Исходные данные для финансовой модели </t>
  </si>
  <si>
    <t>себестоимость производства 1 кг семян, тыс. руб.</t>
  </si>
  <si>
    <t>и далее с циклом 3 года</t>
  </si>
  <si>
    <t>Количество семян, реализованное в производство, кг</t>
  </si>
  <si>
    <t>Площадь посева, га</t>
  </si>
  <si>
    <t>Норма высева, кг/га</t>
  </si>
  <si>
    <t>Урожайность, тонн/га</t>
  </si>
  <si>
    <t>Производство, тонн</t>
  </si>
  <si>
    <t>Цена реализации, руб./кг</t>
  </si>
  <si>
    <t>Выручка, тыс. руб.</t>
  </si>
  <si>
    <t>Себестоимость, руб./кг</t>
  </si>
  <si>
    <t>Стоимость отечественных семян, тыс. руб.</t>
  </si>
  <si>
    <t>из них семена импорт, тыс. руб.</t>
  </si>
  <si>
    <t>Себестоимость при импортных семенах, всего, тыс. руб.</t>
  </si>
  <si>
    <t>Цена импортных семян, тыс.руб./кг</t>
  </si>
  <si>
    <t>Цена отечественных семян, тыс.руб./кг</t>
  </si>
  <si>
    <t>при отечественных м.б. совсем не так</t>
  </si>
  <si>
    <t>в т.ч по размаху вариации и реакци на погоду</t>
  </si>
  <si>
    <t xml:space="preserve"> Свои и чужие - м.б. разница</t>
  </si>
  <si>
    <t>График работ по этапам. Блок 1. Селекционеры</t>
  </si>
  <si>
    <t>Рентабельность семеноводства, %</t>
  </si>
  <si>
    <t>График работ. 1. Семеноводы</t>
  </si>
  <si>
    <t>График работ. 3. Товарное овощеводство</t>
  </si>
  <si>
    <t>Уточненный расчёт показателей финансовой реализуемости</t>
  </si>
  <si>
    <t>Шаг расчётного периода</t>
  </si>
  <si>
    <t>Затраты (с учётом лага)</t>
  </si>
  <si>
    <t>Поступления</t>
  </si>
  <si>
    <t>Чистые выгоды (с учётом лага)</t>
  </si>
  <si>
    <t>Минимум накопленного сальдо</t>
  </si>
  <si>
    <t>Потребность в финансировании</t>
  </si>
  <si>
    <t>приходится на</t>
  </si>
  <si>
    <t>шаг</t>
  </si>
  <si>
    <t>с учётом резерва 20%</t>
  </si>
  <si>
    <t>К=</t>
  </si>
  <si>
    <t>NPV =</t>
  </si>
  <si>
    <t>Если Урожайность "с пронектом" будет составлять К от заданной, то при</t>
  </si>
  <si>
    <r>
      <t xml:space="preserve">Прирост ЧВ общий </t>
    </r>
    <r>
      <rPr>
        <b/>
        <sz val="8"/>
        <color rgb="FFFF0000"/>
        <rFont val="Calibri"/>
        <family val="2"/>
        <charset val="204"/>
        <scheme val="minor"/>
      </rPr>
      <t>(в расчёт)</t>
    </r>
  </si>
  <si>
    <t>Приросты из вспомогательных расчётов</t>
  </si>
  <si>
    <t xml:space="preserve">Если затраты на селекционные работы "с проектом" будут в К раз дороже, то при </t>
  </si>
  <si>
    <r>
      <t>NPV</t>
    </r>
    <r>
      <rPr>
        <sz val="8"/>
        <color theme="1"/>
        <rFont val="Calibri"/>
        <family val="2"/>
        <charset val="204"/>
        <scheme val="minor"/>
      </rPr>
      <t>свод=</t>
    </r>
  </si>
  <si>
    <r>
      <t>NPV</t>
    </r>
    <r>
      <rPr>
        <sz val="8"/>
        <color theme="1"/>
        <rFont val="Calibri"/>
        <family val="2"/>
        <charset val="204"/>
        <scheme val="minor"/>
      </rPr>
      <t>сел=</t>
    </r>
  </si>
  <si>
    <r>
      <t>NPV</t>
    </r>
    <r>
      <rPr>
        <sz val="8"/>
        <color theme="1"/>
        <rFont val="Calibri"/>
        <family val="2"/>
        <charset val="204"/>
        <scheme val="minor"/>
      </rPr>
      <t>сем=</t>
    </r>
  </si>
  <si>
    <r>
      <t>NPV</t>
    </r>
    <r>
      <rPr>
        <sz val="8"/>
        <color theme="1"/>
        <rFont val="Calibri"/>
        <family val="2"/>
        <charset val="204"/>
        <scheme val="minor"/>
      </rPr>
      <t>тов=</t>
    </r>
  </si>
  <si>
    <t xml:space="preserve">Если всё пройдёт в соответствии с базовым сценарием, то (при К = 100) </t>
  </si>
  <si>
    <t>Если Урожайность "с проектом" будет составлять К от заданной, то при</t>
  </si>
  <si>
    <t xml:space="preserve">Если цена реализации семян, выращенных семеноводами будет  будут в К раз выше, то при </t>
  </si>
  <si>
    <t xml:space="preserve"> 1-18 не 18 а 9</t>
  </si>
  <si>
    <t xml:space="preserve"> -й шаг</t>
  </si>
  <si>
    <t xml:space="preserve"> - й шаг</t>
  </si>
  <si>
    <t>Сводный финансовый анализ ПРОЕКТ В ЦЕЛОМ</t>
  </si>
  <si>
    <t>Участник 1 - Селекционер</t>
  </si>
  <si>
    <t>Участник 2 - Семеновод</t>
  </si>
  <si>
    <t>Участник 3- Товарное овощеводство</t>
  </si>
  <si>
    <t>IRR</t>
  </si>
  <si>
    <t>Оценка эффективности</t>
  </si>
  <si>
    <t>Оценка реализуемости</t>
  </si>
  <si>
    <t>Min Нc</t>
  </si>
  <si>
    <t>Показатели эффективности (NPV), тыс. руб.</t>
  </si>
  <si>
    <t>Показатели реализуемости (min НС), тыс. руб.</t>
  </si>
  <si>
    <t>Вывод</t>
  </si>
  <si>
    <t>X</t>
  </si>
  <si>
    <t>Участие в проекте эффективно и реализуемо</t>
  </si>
  <si>
    <t>Проект в целом</t>
  </si>
  <si>
    <t>Деятельность "без проекта"</t>
  </si>
  <si>
    <t>"С проектом"</t>
  </si>
  <si>
    <t>Эффективность и реализуемость проекта</t>
  </si>
  <si>
    <t>Участие в проекте</t>
  </si>
  <si>
    <t>Показатели</t>
  </si>
  <si>
    <r>
      <rPr>
        <b/>
        <sz val="12"/>
        <color theme="1"/>
        <rFont val="Times New Roman"/>
        <family val="1"/>
        <charset val="204"/>
      </rPr>
      <t>Участник 1 - Селекционер</t>
    </r>
    <r>
      <rPr>
        <sz val="12"/>
        <color theme="1"/>
        <rFont val="Times New Roman"/>
        <family val="1"/>
        <charset val="204"/>
      </rPr>
      <t xml:space="preserve"> деятельность «без проекта»</t>
    </r>
  </si>
  <si>
    <r>
      <rPr>
        <b/>
        <sz val="12"/>
        <color theme="1"/>
        <rFont val="Times New Roman"/>
        <family val="1"/>
        <charset val="204"/>
      </rPr>
      <t>Участник 1 - Селекционер</t>
    </r>
    <r>
      <rPr>
        <sz val="12"/>
        <color theme="1"/>
        <rFont val="Times New Roman"/>
        <family val="1"/>
        <charset val="204"/>
      </rPr>
      <t xml:space="preserve">  «с проектом»</t>
    </r>
  </si>
  <si>
    <r>
      <rPr>
        <b/>
        <sz val="12"/>
        <color theme="1"/>
        <rFont val="Times New Roman"/>
        <family val="1"/>
        <charset val="204"/>
      </rPr>
      <t>Участник 1 - Селекционер</t>
    </r>
    <r>
      <rPr>
        <sz val="12"/>
        <color theme="1"/>
        <rFont val="Times New Roman"/>
        <family val="1"/>
        <charset val="204"/>
      </rPr>
      <t xml:space="preserve">  участие в проекте</t>
    </r>
  </si>
  <si>
    <r>
      <rPr>
        <b/>
        <sz val="12"/>
        <color theme="1"/>
        <rFont val="Times New Roman"/>
        <family val="1"/>
        <charset val="204"/>
      </rPr>
      <t>Участник 2 - Семеновод</t>
    </r>
    <r>
      <rPr>
        <sz val="12"/>
        <color theme="1"/>
        <rFont val="Times New Roman"/>
        <family val="1"/>
        <charset val="204"/>
      </rPr>
      <t xml:space="preserve"> деятельность «без проекта»</t>
    </r>
  </si>
  <si>
    <r>
      <rPr>
        <b/>
        <sz val="12"/>
        <color theme="1"/>
        <rFont val="Times New Roman"/>
        <family val="1"/>
        <charset val="204"/>
      </rPr>
      <t>Участник 2 - Семеновод</t>
    </r>
    <r>
      <rPr>
        <sz val="12"/>
        <color theme="1"/>
        <rFont val="Times New Roman"/>
        <family val="1"/>
        <charset val="204"/>
      </rPr>
      <t xml:space="preserve">  участие в проекте</t>
    </r>
  </si>
  <si>
    <r>
      <rPr>
        <b/>
        <sz val="12"/>
        <color theme="1"/>
        <rFont val="Times New Roman"/>
        <family val="1"/>
        <charset val="204"/>
      </rPr>
      <t>Участник 2 - Семеновод</t>
    </r>
    <r>
      <rPr>
        <sz val="12"/>
        <color theme="1"/>
        <rFont val="Times New Roman"/>
        <family val="1"/>
        <charset val="204"/>
      </rPr>
      <t xml:space="preserve">  «с проектом»</t>
    </r>
  </si>
  <si>
    <t>Проект в целом эффективен и реализуем</t>
  </si>
  <si>
    <t>Участие в проекте эффективно, но требует вложений</t>
  </si>
  <si>
    <t>Участие в проекте эффективно,  вложения сопоставимы с деятельностью "без проекта"</t>
  </si>
  <si>
    <r>
      <rPr>
        <b/>
        <sz val="12"/>
        <color theme="1"/>
        <rFont val="Times New Roman"/>
        <family val="1"/>
        <charset val="204"/>
      </rPr>
      <t>Участник 3 - Товарное овощеводство</t>
    </r>
    <r>
      <rPr>
        <sz val="12"/>
        <color theme="1"/>
        <rFont val="Times New Roman"/>
        <family val="1"/>
        <charset val="204"/>
      </rPr>
      <t xml:space="preserve"> деятельность «без проекта»</t>
    </r>
  </si>
  <si>
    <r>
      <rPr>
        <b/>
        <sz val="12"/>
        <color theme="1"/>
        <rFont val="Times New Roman"/>
        <family val="1"/>
        <charset val="204"/>
      </rPr>
      <t>Участник 3 - Товарное овощеводство</t>
    </r>
    <r>
      <rPr>
        <sz val="12"/>
        <color theme="1"/>
        <rFont val="Times New Roman"/>
        <family val="1"/>
        <charset val="204"/>
      </rPr>
      <t xml:space="preserve">  «с проектом»</t>
    </r>
  </si>
  <si>
    <r>
      <rPr>
        <b/>
        <sz val="12"/>
        <color theme="1"/>
        <rFont val="Times New Roman"/>
        <family val="1"/>
        <charset val="204"/>
      </rPr>
      <t>Участник 3 - Товарное овощеводство</t>
    </r>
    <r>
      <rPr>
        <sz val="12"/>
        <color theme="1"/>
        <rFont val="Times New Roman"/>
        <family val="1"/>
        <charset val="204"/>
      </rPr>
      <t xml:space="preserve">  участие в проекте</t>
    </r>
  </si>
  <si>
    <t>тыс.руб/т</t>
  </si>
  <si>
    <t>К =</t>
  </si>
  <si>
    <t>Если цена реализации семян нового сорта предприятиям товарного овощеводства будет ниже заданной, то при каком пороге проект останется эффективным</t>
  </si>
  <si>
    <t xml:space="preserve">Ответ </t>
  </si>
  <si>
    <t>ПЧВ =</t>
  </si>
  <si>
    <t>при цене продаж</t>
  </si>
  <si>
    <t>при цене заказа на тиражирование</t>
  </si>
  <si>
    <t>Коэффициент при цене поставке сортовых семян в товарное производство</t>
  </si>
  <si>
    <t xml:space="preserve">Коэффициент при заказе на размножение сортоых семян </t>
  </si>
  <si>
    <t>Селекц</t>
  </si>
  <si>
    <t>Семенов</t>
  </si>
  <si>
    <t>Товарн</t>
  </si>
  <si>
    <t>Свод</t>
  </si>
  <si>
    <t>Значения в базисном сценарии</t>
  </si>
  <si>
    <t>Текущие значения:</t>
  </si>
  <si>
    <t>Коэффициент при цене поставки сортовых семян в товарное производство</t>
  </si>
  <si>
    <t xml:space="preserve">                           - затраты</t>
  </si>
  <si>
    <t xml:space="preserve">                       - чистые выгоды</t>
  </si>
  <si>
    <t>проверка</t>
  </si>
  <si>
    <t>Селекционер-"без П"-Выголы</t>
  </si>
  <si>
    <t>Селекционер-"с П"-Выгоды</t>
  </si>
  <si>
    <t>Селекционер - Прирост В</t>
  </si>
  <si>
    <t>семеновод-"без П"-Выголы</t>
  </si>
  <si>
    <t>семеновод-"с П"-Выгоды</t>
  </si>
  <si>
    <t>семеновод - Прирост В</t>
  </si>
  <si>
    <t>Товарное-"без П"-Выголы</t>
  </si>
  <si>
    <t>Товарное-"с П"-Выгоды</t>
  </si>
  <si>
    <t>Товарное - Прирост В</t>
  </si>
  <si>
    <t>Селекционер - Прирост З</t>
  </si>
  <si>
    <t>семеновод - Прирост З</t>
  </si>
  <si>
    <t>Товарное - Прирост З</t>
  </si>
  <si>
    <t>В целом-"с П"-Выгоды</t>
  </si>
  <si>
    <t>В целом - Прирост В</t>
  </si>
  <si>
    <t>В целом - Прирост З</t>
  </si>
  <si>
    <t>проверка "с"</t>
  </si>
  <si>
    <t>проверка "без"</t>
  </si>
  <si>
    <t>Прирост ЧВ - проверка-2</t>
  </si>
  <si>
    <t>По данным НВЧ Прирост ЧВ</t>
  </si>
  <si>
    <t>1-12 - Создание и размножение родительских линий</t>
  </si>
  <si>
    <t>13-14 - период испытания и отбора гибридов</t>
  </si>
  <si>
    <t>4-5  период испытания и отбора гибридов</t>
  </si>
  <si>
    <t>Лаборатория. Производство удвоенных гаплоидов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</si>
</sst>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0.0%"/>
    <numFmt numFmtId="165" formatCode="#,##0_ ;[Red]\-#,##0\ "/>
    <numFmt numFmtId="166" formatCode="0.0"/>
    <numFmt numFmtId="167" formatCode="0.000_ ;[Red]\-0.000\ "/>
    <numFmt numFmtId="168" formatCode="0.0_ ;[Red]\-0.0\ "/>
    <numFmt numFmtId="169" formatCode="0.000%"/>
    <numFmt numFmtId="170" formatCode="#,##0.0_ ;[Red]\-#,##0.0\ "/>
    <numFmt numFmtId="171" formatCode="_-* #,##0\ _₽_-;\-* #,##0\ _₽_-;_-* &quot;-&quot;??\ _₽_-;_-@_-"/>
    <numFmt numFmtId="172" formatCode="#,##0.0"/>
    <numFmt numFmtId="173" formatCode="0.00000"/>
    <numFmt numFmtId="174" formatCode="0.000"/>
    <numFmt numFmtId="175" formatCode="0.0000"/>
    <numFmt numFmtId="176" formatCode="0.000000"/>
  </numFmts>
  <fonts count="6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b/>
      <i/>
      <sz val="8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08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1" fillId="0" borderId="5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indent="3"/>
    </xf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/>
    </xf>
    <xf numFmtId="0" fontId="10" fillId="0" borderId="0" xfId="0" applyFont="1" applyFill="1"/>
    <xf numFmtId="0" fontId="10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9" xfId="0" applyBorder="1"/>
    <xf numFmtId="0" fontId="8" fillId="0" borderId="9" xfId="0" applyFont="1" applyBorder="1"/>
    <xf numFmtId="0" fontId="17" fillId="0" borderId="9" xfId="0" applyFont="1" applyBorder="1"/>
    <xf numFmtId="165" fontId="8" fillId="0" borderId="9" xfId="0" applyNumberFormat="1" applyFont="1" applyBorder="1"/>
    <xf numFmtId="1" fontId="17" fillId="0" borderId="9" xfId="0" applyNumberFormat="1" applyFont="1" applyBorder="1"/>
    <xf numFmtId="165" fontId="18" fillId="0" borderId="9" xfId="0" applyNumberFormat="1" applyFont="1" applyBorder="1"/>
    <xf numFmtId="1" fontId="19" fillId="3" borderId="9" xfId="0" applyNumberFormat="1" applyFont="1" applyFill="1" applyBorder="1"/>
    <xf numFmtId="0" fontId="19" fillId="3" borderId="9" xfId="0" applyFont="1" applyFill="1" applyBorder="1"/>
    <xf numFmtId="0" fontId="19" fillId="3" borderId="0" xfId="0" applyFont="1" applyFill="1"/>
    <xf numFmtId="0" fontId="20" fillId="0" borderId="0" xfId="0" applyFont="1"/>
    <xf numFmtId="0" fontId="22" fillId="0" borderId="0" xfId="0" applyFont="1"/>
    <xf numFmtId="0" fontId="8" fillId="3" borderId="9" xfId="0" applyFont="1" applyFill="1" applyBorder="1"/>
    <xf numFmtId="165" fontId="8" fillId="3" borderId="9" xfId="0" applyNumberFormat="1" applyFont="1" applyFill="1" applyBorder="1"/>
    <xf numFmtId="0" fontId="27" fillId="0" borderId="9" xfId="0" applyFont="1" applyBorder="1"/>
    <xf numFmtId="166" fontId="27" fillId="0" borderId="9" xfId="0" applyNumberFormat="1" applyFont="1" applyBorder="1"/>
    <xf numFmtId="0" fontId="8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2" fillId="0" borderId="9" xfId="0" applyFont="1" applyBorder="1"/>
    <xf numFmtId="165" fontId="28" fillId="0" borderId="9" xfId="0" applyNumberFormat="1" applyFont="1" applyBorder="1" applyAlignment="1">
      <alignment horizontal="center"/>
    </xf>
    <xf numFmtId="1" fontId="22" fillId="0" borderId="9" xfId="0" applyNumberFormat="1" applyFont="1" applyBorder="1"/>
    <xf numFmtId="0" fontId="29" fillId="0" borderId="9" xfId="0" applyFont="1" applyBorder="1" applyAlignment="1">
      <alignment horizontal="center"/>
    </xf>
    <xf numFmtId="10" fontId="28" fillId="0" borderId="9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168" fontId="31" fillId="0" borderId="9" xfId="0" applyNumberFormat="1" applyFont="1" applyBorder="1" applyAlignment="1">
      <alignment horizontal="center"/>
    </xf>
    <xf numFmtId="165" fontId="17" fillId="0" borderId="9" xfId="0" applyNumberFormat="1" applyFont="1" applyBorder="1"/>
    <xf numFmtId="166" fontId="26" fillId="0" borderId="9" xfId="0" applyNumberFormat="1" applyFont="1" applyBorder="1"/>
    <xf numFmtId="0" fontId="8" fillId="0" borderId="0" xfId="0" applyFont="1" applyAlignment="1">
      <alignment horizontal="center"/>
    </xf>
    <xf numFmtId="164" fontId="8" fillId="2" borderId="0" xfId="1" applyNumberFormat="1" applyFont="1" applyFill="1" applyAlignment="1">
      <alignment horizontal="center"/>
    </xf>
    <xf numFmtId="0" fontId="25" fillId="0" borderId="9" xfId="0" applyFont="1" applyBorder="1"/>
    <xf numFmtId="1" fontId="24" fillId="3" borderId="9" xfId="0" applyNumberFormat="1" applyFont="1" applyFill="1" applyBorder="1"/>
    <xf numFmtId="166" fontId="32" fillId="0" borderId="9" xfId="0" applyNumberFormat="1" applyFont="1" applyBorder="1"/>
    <xf numFmtId="0" fontId="33" fillId="0" borderId="9" xfId="0" applyFont="1" applyBorder="1" applyAlignment="1">
      <alignment horizontal="center"/>
    </xf>
    <xf numFmtId="168" fontId="34" fillId="0" borderId="9" xfId="0" applyNumberFormat="1" applyFont="1" applyBorder="1" applyAlignment="1">
      <alignment horizontal="center"/>
    </xf>
    <xf numFmtId="0" fontId="27" fillId="0" borderId="0" xfId="0" applyFont="1"/>
    <xf numFmtId="0" fontId="24" fillId="0" borderId="9" xfId="0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164" fontId="8" fillId="0" borderId="9" xfId="1" applyNumberFormat="1" applyFont="1" applyBorder="1"/>
    <xf numFmtId="0" fontId="36" fillId="0" borderId="0" xfId="0" applyFont="1" applyAlignment="1"/>
    <xf numFmtId="0" fontId="0" fillId="0" borderId="9" xfId="0" applyBorder="1" applyAlignment="1">
      <alignment vertical="top"/>
    </xf>
    <xf numFmtId="10" fontId="0" fillId="2" borderId="9" xfId="0" applyNumberFormat="1" applyFill="1" applyBorder="1" applyAlignment="1">
      <alignment vertical="top"/>
    </xf>
    <xf numFmtId="9" fontId="0" fillId="2" borderId="9" xfId="0" applyNumberFormat="1" applyFill="1" applyBorder="1" applyAlignment="1">
      <alignment vertical="top"/>
    </xf>
    <xf numFmtId="169" fontId="0" fillId="0" borderId="9" xfId="1" applyNumberFormat="1" applyFont="1" applyBorder="1" applyAlignment="1">
      <alignment vertical="top"/>
    </xf>
    <xf numFmtId="0" fontId="20" fillId="0" borderId="9" xfId="0" applyFont="1" applyBorder="1" applyAlignment="1">
      <alignment vertical="top"/>
    </xf>
    <xf numFmtId="0" fontId="0" fillId="0" borderId="10" xfId="0" applyBorder="1" applyAlignment="1">
      <alignment vertical="top"/>
    </xf>
    <xf numFmtId="169" fontId="20" fillId="0" borderId="10" xfId="0" applyNumberFormat="1" applyFont="1" applyBorder="1" applyAlignment="1">
      <alignment vertical="top"/>
    </xf>
    <xf numFmtId="0" fontId="35" fillId="0" borderId="13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9" xfId="0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9" xfId="0" applyFont="1" applyFill="1" applyBorder="1"/>
    <xf numFmtId="0" fontId="20" fillId="0" borderId="13" xfId="0" applyFont="1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17" fillId="0" borderId="9" xfId="0" applyFont="1" applyFill="1" applyBorder="1"/>
    <xf numFmtId="0" fontId="0" fillId="0" borderId="0" xfId="0" applyFill="1"/>
    <xf numFmtId="0" fontId="18" fillId="0" borderId="9" xfId="0" applyFont="1" applyBorder="1"/>
    <xf numFmtId="0" fontId="23" fillId="0" borderId="9" xfId="0" applyFont="1" applyBorder="1"/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justify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horizontal="justify" vertical="top" wrapText="1"/>
    </xf>
    <xf numFmtId="0" fontId="0" fillId="0" borderId="2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justify" vertical="top" wrapText="1"/>
    </xf>
    <xf numFmtId="0" fontId="0" fillId="0" borderId="27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2" borderId="0" xfId="0" applyFill="1" applyAlignment="1">
      <alignment horizontal="center"/>
    </xf>
    <xf numFmtId="0" fontId="35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2" borderId="24" xfId="0" applyFill="1" applyBorder="1" applyAlignment="1">
      <alignment vertical="top" wrapText="1"/>
    </xf>
    <xf numFmtId="0" fontId="0" fillId="2" borderId="26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35" fillId="3" borderId="0" xfId="0" applyFont="1" applyFill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35" fillId="0" borderId="0" xfId="0" applyFont="1" applyFill="1"/>
    <xf numFmtId="0" fontId="0" fillId="0" borderId="0" xfId="0" applyAlignment="1">
      <alignment horizontal="left"/>
    </xf>
    <xf numFmtId="0" fontId="39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8" fillId="3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3" borderId="0" xfId="0" applyFont="1" applyFill="1" applyAlignment="1">
      <alignment horizontal="left"/>
    </xf>
    <xf numFmtId="166" fontId="38" fillId="3" borderId="0" xfId="0" applyNumberFormat="1" applyFon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35" fillId="3" borderId="0" xfId="1" applyNumberFormat="1" applyFont="1" applyFill="1" applyAlignment="1">
      <alignment horizontal="center"/>
    </xf>
    <xf numFmtId="166" fontId="35" fillId="3" borderId="0" xfId="0" applyNumberFormat="1" applyFont="1" applyFill="1" applyAlignment="1">
      <alignment horizontal="center"/>
    </xf>
    <xf numFmtId="2" fontId="38" fillId="3" borderId="0" xfId="0" applyNumberFormat="1" applyFont="1" applyFill="1" applyAlignment="1">
      <alignment horizontal="center"/>
    </xf>
    <xf numFmtId="2" fontId="35" fillId="3" borderId="0" xfId="0" applyNumberFormat="1" applyFont="1" applyFill="1" applyAlignment="1">
      <alignment horizontal="center"/>
    </xf>
    <xf numFmtId="2" fontId="20" fillId="3" borderId="0" xfId="0" applyNumberFormat="1" applyFont="1" applyFill="1" applyAlignment="1">
      <alignment horizontal="center"/>
    </xf>
    <xf numFmtId="166" fontId="38" fillId="2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38" fillId="0" borderId="0" xfId="0" applyFont="1" applyFill="1" applyAlignment="1">
      <alignment horizontal="left"/>
    </xf>
    <xf numFmtId="0" fontId="22" fillId="0" borderId="9" xfId="0" applyFont="1" applyFill="1" applyBorder="1"/>
    <xf numFmtId="170" fontId="25" fillId="0" borderId="9" xfId="0" applyNumberFormat="1" applyFont="1" applyBorder="1"/>
    <xf numFmtId="0" fontId="20" fillId="2" borderId="9" xfId="0" applyFont="1" applyFill="1" applyBorder="1" applyAlignment="1">
      <alignment horizontal="center"/>
    </xf>
    <xf numFmtId="0" fontId="0" fillId="3" borderId="24" xfId="0" applyFill="1" applyBorder="1" applyAlignment="1">
      <alignment horizontal="center" vertical="top" wrapText="1"/>
    </xf>
    <xf numFmtId="0" fontId="22" fillId="0" borderId="9" xfId="0" applyFont="1" applyFill="1" applyBorder="1" applyAlignment="1">
      <alignment vertical="top" wrapText="1"/>
    </xf>
    <xf numFmtId="1" fontId="22" fillId="0" borderId="9" xfId="0" applyNumberFormat="1" applyFont="1" applyFill="1" applyBorder="1"/>
    <xf numFmtId="1" fontId="17" fillId="0" borderId="9" xfId="0" applyNumberFormat="1" applyFont="1" applyFill="1" applyBorder="1"/>
    <xf numFmtId="0" fontId="29" fillId="0" borderId="9" xfId="0" applyFont="1" applyFill="1" applyBorder="1" applyAlignment="1">
      <alignment horizontal="center"/>
    </xf>
    <xf numFmtId="10" fontId="28" fillId="0" borderId="9" xfId="0" applyNumberFormat="1" applyFont="1" applyFill="1" applyBorder="1" applyAlignment="1">
      <alignment horizontal="center"/>
    </xf>
    <xf numFmtId="0" fontId="22" fillId="0" borderId="0" xfId="0" applyFont="1" applyFill="1"/>
    <xf numFmtId="0" fontId="20" fillId="3" borderId="0" xfId="0" applyFont="1" applyFill="1"/>
    <xf numFmtId="0" fontId="0" fillId="3" borderId="0" xfId="0" applyFill="1"/>
    <xf numFmtId="0" fontId="38" fillId="3" borderId="0" xfId="0" applyFont="1" applyFill="1"/>
    <xf numFmtId="0" fontId="0" fillId="0" borderId="0" xfId="0" applyAlignment="1">
      <alignment horizontal="left" indent="5"/>
    </xf>
    <xf numFmtId="0" fontId="0" fillId="0" borderId="25" xfId="0" applyBorder="1" applyAlignment="1">
      <alignment vertical="top" wrapText="1"/>
    </xf>
    <xf numFmtId="0" fontId="0" fillId="0" borderId="0" xfId="0" applyAlignment="1"/>
    <xf numFmtId="0" fontId="0" fillId="2" borderId="28" xfId="0" applyFill="1" applyBorder="1" applyAlignment="1">
      <alignment horizontal="center"/>
    </xf>
    <xf numFmtId="16" fontId="0" fillId="2" borderId="0" xfId="0" applyNumberFormat="1" applyFill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35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29" xfId="0" applyBorder="1" applyAlignment="1">
      <alignment vertical="top" wrapText="1"/>
    </xf>
    <xf numFmtId="0" fontId="0" fillId="2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0" fillId="2" borderId="32" xfId="0" applyFont="1" applyFill="1" applyBorder="1" applyAlignment="1">
      <alignment horizontal="center" vertical="top" wrapText="1"/>
    </xf>
    <xf numFmtId="0" fontId="35" fillId="3" borderId="32" xfId="0" applyFont="1" applyFill="1" applyBorder="1" applyAlignment="1">
      <alignment horizontal="center"/>
    </xf>
    <xf numFmtId="0" fontId="0" fillId="2" borderId="31" xfId="0" applyFill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" fontId="0" fillId="2" borderId="9" xfId="0" applyNumberFormat="1" applyFill="1" applyBorder="1" applyAlignment="1">
      <alignment horizontal="center" vertical="top" wrapText="1"/>
    </xf>
    <xf numFmtId="0" fontId="35" fillId="3" borderId="9" xfId="0" applyFont="1" applyFill="1" applyBorder="1" applyAlignment="1">
      <alignment horizontal="center"/>
    </xf>
    <xf numFmtId="0" fontId="38" fillId="3" borderId="34" xfId="0" applyFont="1" applyFill="1" applyBorder="1" applyAlignment="1">
      <alignment horizontal="center"/>
    </xf>
    <xf numFmtId="1" fontId="20" fillId="0" borderId="9" xfId="0" applyNumberFormat="1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38" fillId="3" borderId="0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38" fillId="0" borderId="26" xfId="0" applyFont="1" applyFill="1" applyBorder="1" applyAlignment="1">
      <alignment vertical="top"/>
    </xf>
    <xf numFmtId="0" fontId="38" fillId="0" borderId="0" xfId="0" applyFont="1" applyFill="1" applyBorder="1" applyAlignment="1">
      <alignment vertical="top"/>
    </xf>
    <xf numFmtId="0" fontId="0" fillId="0" borderId="0" xfId="0" applyAlignment="1">
      <alignment wrapText="1"/>
    </xf>
    <xf numFmtId="0" fontId="38" fillId="3" borderId="0" xfId="0" applyFont="1" applyFill="1" applyAlignment="1">
      <alignment vertical="center"/>
    </xf>
    <xf numFmtId="0" fontId="20" fillId="2" borderId="24" xfId="0" applyFont="1" applyFill="1" applyBorder="1" applyAlignment="1">
      <alignment horizontal="center" vertical="top" wrapText="1"/>
    </xf>
    <xf numFmtId="166" fontId="0" fillId="3" borderId="0" xfId="1" applyNumberFormat="1" applyFont="1" applyFill="1" applyAlignment="1">
      <alignment horizontal="center"/>
    </xf>
    <xf numFmtId="9" fontId="0" fillId="3" borderId="0" xfId="1" applyFont="1" applyFill="1" applyAlignment="1">
      <alignment horizontal="center"/>
    </xf>
    <xf numFmtId="0" fontId="0" fillId="0" borderId="27" xfId="0" applyBorder="1" applyAlignment="1">
      <alignment horizontal="center" vertical="top" wrapText="1"/>
    </xf>
    <xf numFmtId="171" fontId="20" fillId="2" borderId="0" xfId="2" applyNumberFormat="1" applyFont="1" applyFill="1"/>
    <xf numFmtId="0" fontId="38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35" fillId="0" borderId="0" xfId="0" applyFont="1"/>
    <xf numFmtId="1" fontId="18" fillId="0" borderId="0" xfId="0" applyNumberFormat="1" applyFont="1"/>
    <xf numFmtId="10" fontId="18" fillId="0" borderId="0" xfId="1" applyNumberFormat="1" applyFont="1"/>
    <xf numFmtId="0" fontId="8" fillId="3" borderId="0" xfId="0" applyFont="1" applyFill="1"/>
    <xf numFmtId="0" fontId="18" fillId="0" borderId="0" xfId="0" applyFont="1"/>
    <xf numFmtId="0" fontId="23" fillId="0" borderId="0" xfId="0" applyFont="1"/>
    <xf numFmtId="0" fontId="40" fillId="0" borderId="0" xfId="0" applyFont="1"/>
    <xf numFmtId="0" fontId="22" fillId="3" borderId="0" xfId="0" applyFont="1" applyFill="1"/>
    <xf numFmtId="166" fontId="22" fillId="3" borderId="0" xfId="0" applyNumberFormat="1" applyFont="1" applyFill="1"/>
    <xf numFmtId="1" fontId="18" fillId="3" borderId="0" xfId="0" applyNumberFormat="1" applyFont="1" applyFill="1"/>
    <xf numFmtId="0" fontId="35" fillId="3" borderId="0" xfId="0" applyFont="1" applyFill="1"/>
    <xf numFmtId="1" fontId="18" fillId="0" borderId="9" xfId="0" applyNumberFormat="1" applyFont="1" applyBorder="1"/>
    <xf numFmtId="1" fontId="23" fillId="0" borderId="9" xfId="0" applyNumberFormat="1" applyFont="1" applyBorder="1"/>
    <xf numFmtId="0" fontId="28" fillId="0" borderId="0" xfId="0" applyFont="1"/>
    <xf numFmtId="0" fontId="41" fillId="0" borderId="0" xfId="0" applyFont="1"/>
    <xf numFmtId="0" fontId="41" fillId="7" borderId="9" xfId="0" quotePrefix="1" applyFont="1" applyFill="1" applyBorder="1"/>
    <xf numFmtId="0" fontId="41" fillId="8" borderId="9" xfId="0" quotePrefix="1" applyFont="1" applyFill="1" applyBorder="1"/>
    <xf numFmtId="0" fontId="41" fillId="4" borderId="9" xfId="0" quotePrefix="1" applyFont="1" applyFill="1" applyBorder="1"/>
    <xf numFmtId="0" fontId="41" fillId="9" borderId="9" xfId="0" quotePrefix="1" applyFont="1" applyFill="1" applyBorder="1"/>
    <xf numFmtId="0" fontId="41" fillId="10" borderId="9" xfId="0" applyFont="1" applyFill="1" applyBorder="1"/>
    <xf numFmtId="0" fontId="42" fillId="11" borderId="9" xfId="0" quotePrefix="1" applyFont="1" applyFill="1" applyBorder="1" applyAlignment="1">
      <alignment horizontal="center"/>
    </xf>
    <xf numFmtId="0" fontId="41" fillId="5" borderId="0" xfId="0" applyFont="1" applyFill="1" applyAlignment="1">
      <alignment horizontal="center"/>
    </xf>
    <xf numFmtId="0" fontId="41" fillId="3" borderId="9" xfId="0" quotePrefix="1" applyFont="1" applyFill="1" applyBorder="1" applyAlignment="1">
      <alignment horizontal="center"/>
    </xf>
    <xf numFmtId="0" fontId="41" fillId="8" borderId="9" xfId="0" quotePrefix="1" applyFont="1" applyFill="1" applyBorder="1" applyAlignment="1">
      <alignment horizontal="center"/>
    </xf>
    <xf numFmtId="0" fontId="41" fillId="4" borderId="9" xfId="0" quotePrefix="1" applyFont="1" applyFill="1" applyBorder="1" applyAlignment="1">
      <alignment horizontal="center"/>
    </xf>
    <xf numFmtId="0" fontId="41" fillId="9" borderId="9" xfId="0" quotePrefix="1" applyFont="1" applyFill="1" applyBorder="1" applyAlignment="1">
      <alignment horizontal="center"/>
    </xf>
    <xf numFmtId="0" fontId="41" fillId="10" borderId="9" xfId="0" quotePrefix="1" applyFont="1" applyFill="1" applyBorder="1" applyAlignment="1">
      <alignment horizontal="center"/>
    </xf>
    <xf numFmtId="3" fontId="0" fillId="0" borderId="0" xfId="0" applyNumberFormat="1"/>
    <xf numFmtId="3" fontId="18" fillId="0" borderId="9" xfId="0" applyNumberFormat="1" applyFont="1" applyFill="1" applyBorder="1"/>
    <xf numFmtId="3" fontId="8" fillId="0" borderId="9" xfId="0" applyNumberFormat="1" applyFont="1" applyFill="1" applyBorder="1"/>
    <xf numFmtId="3" fontId="8" fillId="0" borderId="9" xfId="0" applyNumberFormat="1" applyFont="1" applyBorder="1"/>
    <xf numFmtId="0" fontId="35" fillId="0" borderId="9" xfId="0" applyFont="1" applyBorder="1" applyAlignment="1">
      <alignment vertical="top" wrapText="1"/>
    </xf>
    <xf numFmtId="3" fontId="17" fillId="0" borderId="9" xfId="0" applyNumberFormat="1" applyFont="1" applyBorder="1"/>
    <xf numFmtId="3" fontId="18" fillId="0" borderId="9" xfId="0" applyNumberFormat="1" applyFont="1" applyBorder="1"/>
    <xf numFmtId="0" fontId="17" fillId="0" borderId="0" xfId="0" applyFont="1" applyFill="1"/>
    <xf numFmtId="166" fontId="27" fillId="0" borderId="9" xfId="0" applyNumberFormat="1" applyFont="1" applyFill="1" applyBorder="1"/>
    <xf numFmtId="3" fontId="22" fillId="0" borderId="9" xfId="0" applyNumberFormat="1" applyFont="1" applyBorder="1"/>
    <xf numFmtId="0" fontId="50" fillId="0" borderId="0" xfId="0" applyFont="1"/>
    <xf numFmtId="0" fontId="46" fillId="12" borderId="9" xfId="0" applyFont="1" applyFill="1" applyBorder="1"/>
    <xf numFmtId="0" fontId="47" fillId="12" borderId="9" xfId="0" applyFont="1" applyFill="1" applyBorder="1"/>
    <xf numFmtId="0" fontId="48" fillId="12" borderId="9" xfId="0" applyFont="1" applyFill="1" applyBorder="1"/>
    <xf numFmtId="0" fontId="49" fillId="12" borderId="9" xfId="0" applyFont="1" applyFill="1" applyBorder="1"/>
    <xf numFmtId="1" fontId="8" fillId="0" borderId="9" xfId="0" applyNumberFormat="1" applyFont="1" applyFill="1" applyBorder="1"/>
    <xf numFmtId="3" fontId="19" fillId="3" borderId="9" xfId="0" applyNumberFormat="1" applyFont="1" applyFill="1" applyBorder="1"/>
    <xf numFmtId="166" fontId="51" fillId="0" borderId="9" xfId="0" applyNumberFormat="1" applyFont="1" applyBorder="1"/>
    <xf numFmtId="0" fontId="41" fillId="3" borderId="9" xfId="0" applyFont="1" applyFill="1" applyBorder="1"/>
    <xf numFmtId="0" fontId="41" fillId="0" borderId="9" xfId="0" applyFont="1" applyBorder="1" applyAlignment="1">
      <alignment vertical="top" wrapText="1"/>
    </xf>
    <xf numFmtId="0" fontId="41" fillId="0" borderId="9" xfId="0" applyFont="1" applyFill="1" applyBorder="1" applyAlignment="1">
      <alignment vertical="top" wrapText="1"/>
    </xf>
    <xf numFmtId="3" fontId="25" fillId="0" borderId="9" xfId="0" applyNumberFormat="1" applyFont="1" applyBorder="1"/>
    <xf numFmtId="0" fontId="21" fillId="3" borderId="9" xfId="0" applyFont="1" applyFill="1" applyBorder="1"/>
    <xf numFmtId="172" fontId="17" fillId="0" borderId="9" xfId="0" applyNumberFormat="1" applyFont="1" applyBorder="1"/>
    <xf numFmtId="172" fontId="18" fillId="0" borderId="9" xfId="0" applyNumberFormat="1" applyFont="1" applyFill="1" applyBorder="1"/>
    <xf numFmtId="0" fontId="0" fillId="3" borderId="9" xfId="0" applyFill="1" applyBorder="1" applyAlignment="1">
      <alignment vertical="top" wrapText="1"/>
    </xf>
    <xf numFmtId="172" fontId="8" fillId="0" borderId="9" xfId="0" applyNumberFormat="1" applyFont="1" applyFill="1" applyBorder="1"/>
    <xf numFmtId="172" fontId="8" fillId="0" borderId="9" xfId="0" applyNumberFormat="1" applyFont="1" applyBorder="1"/>
    <xf numFmtId="3" fontId="17" fillId="0" borderId="9" xfId="0" applyNumberFormat="1" applyFont="1" applyFill="1" applyBorder="1"/>
    <xf numFmtId="0" fontId="0" fillId="2" borderId="9" xfId="0" applyFill="1" applyBorder="1"/>
    <xf numFmtId="1" fontId="22" fillId="0" borderId="0" xfId="0" applyNumberFormat="1" applyFont="1"/>
    <xf numFmtId="3" fontId="17" fillId="0" borderId="0" xfId="0" applyNumberFormat="1" applyFont="1"/>
    <xf numFmtId="3" fontId="0" fillId="0" borderId="9" xfId="0" applyNumberFormat="1" applyBorder="1"/>
    <xf numFmtId="3" fontId="8" fillId="0" borderId="0" xfId="0" applyNumberFormat="1" applyFont="1"/>
    <xf numFmtId="172" fontId="8" fillId="0" borderId="0" xfId="0" applyNumberFormat="1" applyFont="1"/>
    <xf numFmtId="1" fontId="40" fillId="0" borderId="0" xfId="0" applyNumberFormat="1" applyFont="1"/>
    <xf numFmtId="1" fontId="22" fillId="3" borderId="9" xfId="0" applyNumberFormat="1" applyFont="1" applyFill="1" applyBorder="1"/>
    <xf numFmtId="0" fontId="17" fillId="3" borderId="9" xfId="0" applyFont="1" applyFill="1" applyBorder="1"/>
    <xf numFmtId="3" fontId="0" fillId="3" borderId="9" xfId="0" applyNumberFormat="1" applyFill="1" applyBorder="1"/>
    <xf numFmtId="3" fontId="0" fillId="3" borderId="0" xfId="0" applyNumberFormat="1" applyFill="1"/>
    <xf numFmtId="1" fontId="22" fillId="3" borderId="0" xfId="0" applyNumberFormat="1" applyFont="1" applyFill="1"/>
    <xf numFmtId="0" fontId="40" fillId="3" borderId="0" xfId="0" applyFont="1" applyFill="1"/>
    <xf numFmtId="0" fontId="17" fillId="3" borderId="0" xfId="0" applyFont="1" applyFill="1"/>
    <xf numFmtId="3" fontId="17" fillId="3" borderId="0" xfId="0" applyNumberFormat="1" applyFont="1" applyFill="1"/>
    <xf numFmtId="3" fontId="8" fillId="3" borderId="0" xfId="0" applyNumberFormat="1" applyFont="1" applyFill="1"/>
    <xf numFmtId="1" fontId="40" fillId="3" borderId="0" xfId="0" applyNumberFormat="1" applyFont="1" applyFill="1"/>
    <xf numFmtId="3" fontId="21" fillId="0" borderId="9" xfId="0" applyNumberFormat="1" applyFont="1" applyBorder="1"/>
    <xf numFmtId="0" fontId="11" fillId="0" borderId="0" xfId="0" applyFont="1"/>
    <xf numFmtId="166" fontId="30" fillId="3" borderId="0" xfId="0" applyNumberFormat="1" applyFont="1" applyFill="1"/>
    <xf numFmtId="0" fontId="32" fillId="0" borderId="0" xfId="0" applyFont="1"/>
    <xf numFmtId="0" fontId="51" fillId="0" borderId="0" xfId="0" applyFont="1"/>
    <xf numFmtId="172" fontId="32" fillId="0" borderId="0" xfId="0" applyNumberFormat="1" applyFont="1"/>
    <xf numFmtId="0" fontId="25" fillId="3" borderId="0" xfId="0" applyFont="1" applyFill="1"/>
    <xf numFmtId="0" fontId="38" fillId="3" borderId="9" xfId="0" applyFont="1" applyFill="1" applyBorder="1"/>
    <xf numFmtId="3" fontId="38" fillId="3" borderId="9" xfId="0" applyNumberFormat="1" applyFont="1" applyFill="1" applyBorder="1"/>
    <xf numFmtId="1" fontId="25" fillId="3" borderId="0" xfId="0" applyNumberFormat="1" applyFont="1" applyFill="1"/>
    <xf numFmtId="3" fontId="20" fillId="3" borderId="0" xfId="0" applyNumberFormat="1" applyFont="1" applyFill="1"/>
    <xf numFmtId="0" fontId="29" fillId="3" borderId="0" xfId="0" applyFont="1" applyFill="1"/>
    <xf numFmtId="3" fontId="19" fillId="3" borderId="0" xfId="0" applyNumberFormat="1" applyFont="1" applyFill="1"/>
    <xf numFmtId="0" fontId="20" fillId="0" borderId="9" xfId="0" applyFont="1" applyBorder="1"/>
    <xf numFmtId="1" fontId="40" fillId="0" borderId="9" xfId="0" applyNumberFormat="1" applyFont="1" applyBorder="1"/>
    <xf numFmtId="1" fontId="18" fillId="0" borderId="9" xfId="0" applyNumberFormat="1" applyFont="1" applyBorder="1" applyAlignment="1">
      <alignment horizontal="center"/>
    </xf>
    <xf numFmtId="1" fontId="25" fillId="0" borderId="0" xfId="0" applyNumberFormat="1" applyFont="1"/>
    <xf numFmtId="0" fontId="18" fillId="0" borderId="0" xfId="0" applyFont="1" applyBorder="1"/>
    <xf numFmtId="1" fontId="18" fillId="0" borderId="0" xfId="0" applyNumberFormat="1" applyFont="1" applyBorder="1" applyAlignment="1">
      <alignment horizontal="center"/>
    </xf>
    <xf numFmtId="166" fontId="0" fillId="0" borderId="0" xfId="0" applyNumberFormat="1"/>
    <xf numFmtId="0" fontId="25" fillId="0" borderId="0" xfId="0" applyFont="1" applyBorder="1"/>
    <xf numFmtId="1" fontId="28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4" fillId="0" borderId="0" xfId="0" applyFont="1"/>
    <xf numFmtId="172" fontId="34" fillId="0" borderId="0" xfId="0" applyNumberFormat="1" applyFont="1"/>
    <xf numFmtId="0" fontId="52" fillId="0" borderId="0" xfId="0" applyFont="1"/>
    <xf numFmtId="164" fontId="27" fillId="0" borderId="0" xfId="1" applyNumberFormat="1" applyFont="1"/>
    <xf numFmtId="3" fontId="26" fillId="0" borderId="0" xfId="0" applyNumberFormat="1" applyFont="1"/>
    <xf numFmtId="166" fontId="20" fillId="0" borderId="0" xfId="0" applyNumberFormat="1" applyFont="1"/>
    <xf numFmtId="0" fontId="0" fillId="3" borderId="0" xfId="0" applyFill="1" applyAlignment="1"/>
    <xf numFmtId="0" fontId="0" fillId="0" borderId="0" xfId="0" applyAlignment="1">
      <alignment horizontal="center" vertical="center" wrapText="1"/>
    </xf>
    <xf numFmtId="0" fontId="54" fillId="15" borderId="0" xfId="0" applyFont="1" applyFill="1" applyAlignment="1">
      <alignment horizontal="center" vertical="center" wrapText="1"/>
    </xf>
    <xf numFmtId="0" fontId="55" fillId="16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Fill="1"/>
    <xf numFmtId="0" fontId="0" fillId="0" borderId="0" xfId="0" applyFill="1" applyBorder="1"/>
    <xf numFmtId="0" fontId="17" fillId="0" borderId="0" xfId="0" applyFont="1" applyFill="1" applyBorder="1"/>
    <xf numFmtId="1" fontId="22" fillId="0" borderId="0" xfId="0" applyNumberFormat="1" applyFont="1" applyFill="1"/>
    <xf numFmtId="1" fontId="17" fillId="0" borderId="0" xfId="0" applyNumberFormat="1" applyFont="1" applyFill="1"/>
    <xf numFmtId="3" fontId="56" fillId="0" borderId="0" xfId="0" applyNumberFormat="1" applyFont="1"/>
    <xf numFmtId="3" fontId="12" fillId="0" borderId="0" xfId="0" applyNumberFormat="1" applyFont="1"/>
    <xf numFmtId="172" fontId="41" fillId="0" borderId="0" xfId="0" applyNumberFormat="1" applyFont="1"/>
    <xf numFmtId="0" fontId="8" fillId="0" borderId="0" xfId="0" applyFont="1" applyFill="1"/>
    <xf numFmtId="0" fontId="25" fillId="0" borderId="9" xfId="0" applyFont="1" applyFill="1" applyBorder="1"/>
    <xf numFmtId="0" fontId="18" fillId="0" borderId="9" xfId="0" applyFont="1" applyFill="1" applyBorder="1"/>
    <xf numFmtId="166" fontId="32" fillId="0" borderId="9" xfId="0" applyNumberFormat="1" applyFont="1" applyFill="1" applyBorder="1"/>
    <xf numFmtId="0" fontId="56" fillId="3" borderId="9" xfId="0" applyFont="1" applyFill="1" applyBorder="1"/>
    <xf numFmtId="0" fontId="50" fillId="0" borderId="0" xfId="0" applyFont="1" applyFill="1"/>
    <xf numFmtId="0" fontId="27" fillId="0" borderId="0" xfId="0" applyFont="1" applyFill="1"/>
    <xf numFmtId="0" fontId="19" fillId="0" borderId="0" xfId="0" applyFont="1" applyFill="1"/>
    <xf numFmtId="0" fontId="45" fillId="0" borderId="0" xfId="0" applyFont="1" applyFill="1"/>
    <xf numFmtId="172" fontId="41" fillId="3" borderId="38" xfId="0" applyNumberFormat="1" applyFont="1" applyFill="1" applyBorder="1"/>
    <xf numFmtId="10" fontId="25" fillId="0" borderId="9" xfId="0" applyNumberFormat="1" applyFont="1" applyFill="1" applyBorder="1" applyAlignment="1">
      <alignment horizontal="center"/>
    </xf>
    <xf numFmtId="0" fontId="18" fillId="0" borderId="9" xfId="0" applyFont="1" applyBorder="1" applyAlignment="1">
      <alignment vertical="top" wrapText="1"/>
    </xf>
    <xf numFmtId="165" fontId="25" fillId="0" borderId="9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10" fontId="25" fillId="0" borderId="9" xfId="0" applyNumberFormat="1" applyFont="1" applyBorder="1" applyAlignment="1">
      <alignment horizontal="center"/>
    </xf>
    <xf numFmtId="0" fontId="32" fillId="0" borderId="9" xfId="0" applyFont="1" applyBorder="1"/>
    <xf numFmtId="1" fontId="8" fillId="0" borderId="9" xfId="0" applyNumberFormat="1" applyFont="1" applyBorder="1"/>
    <xf numFmtId="170" fontId="8" fillId="0" borderId="9" xfId="0" applyNumberFormat="1" applyFont="1" applyBorder="1"/>
    <xf numFmtId="2" fontId="8" fillId="0" borderId="9" xfId="0" applyNumberFormat="1" applyFont="1" applyBorder="1"/>
    <xf numFmtId="0" fontId="25" fillId="0" borderId="9" xfId="0" applyFont="1" applyBorder="1" applyAlignment="1">
      <alignment horizontal="center"/>
    </xf>
    <xf numFmtId="166" fontId="56" fillId="3" borderId="9" xfId="0" applyNumberFormat="1" applyFont="1" applyFill="1" applyBorder="1"/>
    <xf numFmtId="0" fontId="56" fillId="0" borderId="9" xfId="0" applyFont="1" applyBorder="1"/>
    <xf numFmtId="172" fontId="57" fillId="3" borderId="38" xfId="0" applyNumberFormat="1" applyFont="1" applyFill="1" applyBorder="1"/>
    <xf numFmtId="172" fontId="45" fillId="3" borderId="38" xfId="0" applyNumberFormat="1" applyFont="1" applyFill="1" applyBorder="1"/>
    <xf numFmtId="0" fontId="41" fillId="0" borderId="2" xfId="0" applyFont="1" applyBorder="1"/>
    <xf numFmtId="0" fontId="41" fillId="0" borderId="3" xfId="0" applyFont="1" applyBorder="1"/>
    <xf numFmtId="0" fontId="43" fillId="0" borderId="4" xfId="0" applyFont="1" applyBorder="1"/>
    <xf numFmtId="172" fontId="41" fillId="0" borderId="0" xfId="0" applyNumberFormat="1" applyFont="1" applyBorder="1"/>
    <xf numFmtId="0" fontId="41" fillId="0" borderId="0" xfId="0" applyFont="1" applyBorder="1"/>
    <xf numFmtId="0" fontId="43" fillId="0" borderId="0" xfId="0" applyFont="1" applyBorder="1"/>
    <xf numFmtId="0" fontId="41" fillId="0" borderId="5" xfId="0" applyFont="1" applyBorder="1"/>
    <xf numFmtId="0" fontId="42" fillId="19" borderId="4" xfId="0" applyFont="1" applyFill="1" applyBorder="1" applyAlignment="1">
      <alignment wrapText="1"/>
    </xf>
    <xf numFmtId="172" fontId="41" fillId="19" borderId="0" xfId="0" applyNumberFormat="1" applyFont="1" applyFill="1" applyBorder="1"/>
    <xf numFmtId="0" fontId="42" fillId="20" borderId="0" xfId="0" applyFont="1" applyFill="1" applyBorder="1" applyAlignment="1">
      <alignment wrapText="1"/>
    </xf>
    <xf numFmtId="0" fontId="41" fillId="20" borderId="5" xfId="0" applyFont="1" applyFill="1" applyBorder="1"/>
    <xf numFmtId="0" fontId="41" fillId="19" borderId="4" xfId="0" applyFont="1" applyFill="1" applyBorder="1" applyAlignment="1">
      <alignment horizontal="left" wrapText="1"/>
    </xf>
    <xf numFmtId="0" fontId="41" fillId="20" borderId="0" xfId="0" applyFont="1" applyFill="1" applyBorder="1" applyAlignment="1">
      <alignment horizontal="left" wrapText="1"/>
    </xf>
    <xf numFmtId="0" fontId="41" fillId="19" borderId="4" xfId="0" applyFont="1" applyFill="1" applyBorder="1" applyAlignment="1">
      <alignment wrapText="1"/>
    </xf>
    <xf numFmtId="172" fontId="41" fillId="20" borderId="5" xfId="0" applyNumberFormat="1" applyFont="1" applyFill="1" applyBorder="1"/>
    <xf numFmtId="0" fontId="41" fillId="20" borderId="0" xfId="0" applyFont="1" applyFill="1" applyBorder="1" applyAlignment="1">
      <alignment wrapText="1"/>
    </xf>
    <xf numFmtId="0" fontId="41" fillId="0" borderId="4" xfId="0" applyFont="1" applyBorder="1" applyAlignment="1">
      <alignment horizontal="left" indent="2"/>
    </xf>
    <xf numFmtId="0" fontId="41" fillId="0" borderId="4" xfId="0" applyFont="1" applyBorder="1"/>
    <xf numFmtId="0" fontId="41" fillId="0" borderId="6" xfId="0" applyFont="1" applyBorder="1"/>
    <xf numFmtId="172" fontId="41" fillId="0" borderId="7" xfId="0" applyNumberFormat="1" applyFont="1" applyBorder="1"/>
    <xf numFmtId="0" fontId="41" fillId="0" borderId="7" xfId="0" applyFont="1" applyBorder="1"/>
    <xf numFmtId="0" fontId="41" fillId="20" borderId="7" xfId="0" applyFont="1" applyFill="1" applyBorder="1" applyAlignment="1">
      <alignment horizontal="left" wrapText="1"/>
    </xf>
    <xf numFmtId="0" fontId="42" fillId="0" borderId="4" xfId="0" applyFont="1" applyBorder="1"/>
    <xf numFmtId="3" fontId="41" fillId="0" borderId="0" xfId="0" applyNumberFormat="1" applyFont="1" applyBorder="1"/>
    <xf numFmtId="0" fontId="41" fillId="5" borderId="0" xfId="0" applyFont="1" applyFill="1" applyBorder="1" applyAlignment="1">
      <alignment horizontal="center"/>
    </xf>
    <xf numFmtId="0" fontId="41" fillId="0" borderId="8" xfId="0" applyFont="1" applyBorder="1"/>
    <xf numFmtId="0" fontId="41" fillId="10" borderId="17" xfId="0" applyFont="1" applyFill="1" applyBorder="1"/>
    <xf numFmtId="3" fontId="41" fillId="0" borderId="7" xfId="0" applyNumberFormat="1" applyFont="1" applyBorder="1"/>
    <xf numFmtId="0" fontId="41" fillId="19" borderId="1" xfId="0" applyFont="1" applyFill="1" applyBorder="1" applyAlignment="1">
      <alignment horizontal="left" wrapText="1"/>
    </xf>
    <xf numFmtId="0" fontId="0" fillId="0" borderId="3" xfId="0" applyBorder="1"/>
    <xf numFmtId="0" fontId="0" fillId="0" borderId="5" xfId="0" applyBorder="1"/>
    <xf numFmtId="166" fontId="41" fillId="19" borderId="0" xfId="0" applyNumberFormat="1" applyFont="1" applyFill="1" applyBorder="1" applyAlignment="1">
      <alignment horizontal="right" wrapText="1"/>
    </xf>
    <xf numFmtId="0" fontId="45" fillId="19" borderId="4" xfId="0" applyFont="1" applyFill="1" applyBorder="1" applyAlignment="1">
      <alignment horizontal="left" wrapText="1"/>
    </xf>
    <xf numFmtId="0" fontId="38" fillId="3" borderId="0" xfId="0" applyFont="1" applyFill="1" applyBorder="1"/>
    <xf numFmtId="172" fontId="41" fillId="19" borderId="0" xfId="0" applyNumberFormat="1" applyFont="1" applyFill="1" applyBorder="1" applyAlignment="1">
      <alignment horizontal="right" wrapText="1"/>
    </xf>
    <xf numFmtId="0" fontId="38" fillId="3" borderId="5" xfId="0" applyFont="1" applyFill="1" applyBorder="1"/>
    <xf numFmtId="0" fontId="57" fillId="3" borderId="4" xfId="0" applyFont="1" applyFill="1" applyBorder="1" applyAlignment="1">
      <alignment horizontal="left" wrapText="1"/>
    </xf>
    <xf numFmtId="0" fontId="29" fillId="3" borderId="0" xfId="0" applyFont="1" applyFill="1" applyBorder="1"/>
    <xf numFmtId="0" fontId="0" fillId="3" borderId="0" xfId="0" applyFill="1" applyBorder="1"/>
    <xf numFmtId="0" fontId="41" fillId="19" borderId="4" xfId="0" applyFont="1" applyFill="1" applyBorder="1" applyAlignment="1">
      <alignment horizontal="left" wrapText="1" indent="1"/>
    </xf>
    <xf numFmtId="0" fontId="41" fillId="19" borderId="6" xfId="0" applyFont="1" applyFill="1" applyBorder="1" applyAlignment="1">
      <alignment horizontal="left" wrapText="1"/>
    </xf>
    <xf numFmtId="0" fontId="0" fillId="0" borderId="8" xfId="0" applyBorder="1"/>
    <xf numFmtId="3" fontId="41" fillId="0" borderId="5" xfId="0" applyNumberFormat="1" applyFont="1" applyBorder="1"/>
    <xf numFmtId="0" fontId="41" fillId="3" borderId="17" xfId="0" applyFont="1" applyFill="1" applyBorder="1"/>
    <xf numFmtId="3" fontId="41" fillId="0" borderId="8" xfId="0" applyNumberFormat="1" applyFont="1" applyBorder="1"/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4" xfId="0" applyFont="1" applyBorder="1" applyAlignment="1">
      <alignment horizontal="left" vertical="center" wrapText="1"/>
    </xf>
    <xf numFmtId="172" fontId="42" fillId="0" borderId="38" xfId="0" applyNumberFormat="1" applyFont="1" applyFill="1" applyBorder="1" applyAlignment="1">
      <alignment horizontal="center"/>
    </xf>
    <xf numFmtId="0" fontId="35" fillId="0" borderId="1" xfId="0" applyFont="1" applyBorder="1"/>
    <xf numFmtId="0" fontId="0" fillId="0" borderId="2" xfId="0" applyFill="1" applyBorder="1"/>
    <xf numFmtId="0" fontId="0" fillId="0" borderId="3" xfId="0" applyFill="1" applyBorder="1"/>
    <xf numFmtId="0" fontId="42" fillId="0" borderId="0" xfId="0" applyFont="1" applyFill="1" applyBorder="1"/>
    <xf numFmtId="0" fontId="42" fillId="0" borderId="5" xfId="0" applyFont="1" applyFill="1" applyBorder="1"/>
    <xf numFmtId="3" fontId="41" fillId="0" borderId="0" xfId="0" applyNumberFormat="1" applyFont="1" applyFill="1" applyBorder="1"/>
    <xf numFmtId="3" fontId="41" fillId="0" borderId="5" xfId="0" applyNumberFormat="1" applyFont="1" applyFill="1" applyBorder="1"/>
    <xf numFmtId="0" fontId="41" fillId="0" borderId="5" xfId="0" applyFont="1" applyFill="1" applyBorder="1"/>
    <xf numFmtId="0" fontId="41" fillId="0" borderId="0" xfId="0" applyFont="1" applyFill="1" applyBorder="1"/>
    <xf numFmtId="0" fontId="0" fillId="0" borderId="5" xfId="0" applyFill="1" applyBorder="1"/>
    <xf numFmtId="166" fontId="35" fillId="20" borderId="0" xfId="0" applyNumberFormat="1" applyFont="1" applyFill="1" applyBorder="1" applyAlignment="1">
      <alignment horizontal="center"/>
    </xf>
    <xf numFmtId="164" fontId="0" fillId="20" borderId="0" xfId="1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43" fillId="0" borderId="2" xfId="0" applyFont="1" applyBorder="1"/>
    <xf numFmtId="0" fontId="42" fillId="0" borderId="0" xfId="0" applyFont="1" applyBorder="1"/>
    <xf numFmtId="3" fontId="41" fillId="3" borderId="0" xfId="0" applyNumberFormat="1" applyFont="1" applyFill="1" applyBorder="1"/>
    <xf numFmtId="3" fontId="41" fillId="3" borderId="5" xfId="0" applyNumberFormat="1" applyFont="1" applyFill="1" applyBorder="1"/>
    <xf numFmtId="172" fontId="41" fillId="2" borderId="38" xfId="0" applyNumberFormat="1" applyFont="1" applyFill="1" applyBorder="1"/>
    <xf numFmtId="0" fontId="0" fillId="12" borderId="0" xfId="0" applyFill="1"/>
    <xf numFmtId="3" fontId="8" fillId="12" borderId="0" xfId="0" applyNumberFormat="1" applyFont="1" applyFill="1"/>
    <xf numFmtId="3" fontId="8" fillId="12" borderId="0" xfId="0" applyNumberFormat="1" applyFont="1" applyFill="1" applyAlignment="1">
      <alignment horizontal="center"/>
    </xf>
    <xf numFmtId="0" fontId="8" fillId="12" borderId="0" xfId="0" applyFont="1" applyFill="1"/>
    <xf numFmtId="0" fontId="27" fillId="12" borderId="0" xfId="0" applyFont="1" applyFill="1"/>
    <xf numFmtId="0" fontId="17" fillId="12" borderId="0" xfId="0" applyFont="1" applyFill="1"/>
    <xf numFmtId="0" fontId="22" fillId="12" borderId="0" xfId="0" applyFont="1" applyFill="1"/>
    <xf numFmtId="3" fontId="22" fillId="12" borderId="0" xfId="0" applyNumberFormat="1" applyFont="1" applyFill="1"/>
    <xf numFmtId="3" fontId="17" fillId="12" borderId="0" xfId="0" applyNumberFormat="1" applyFont="1" applyFill="1"/>
    <xf numFmtId="3" fontId="17" fillId="12" borderId="0" xfId="0" applyNumberFormat="1" applyFont="1" applyFill="1" applyAlignment="1">
      <alignment horizontal="center"/>
    </xf>
    <xf numFmtId="0" fontId="26" fillId="12" borderId="0" xfId="0" applyFont="1" applyFill="1"/>
    <xf numFmtId="3" fontId="58" fillId="12" borderId="0" xfId="0" applyNumberFormat="1" applyFont="1" applyFill="1"/>
    <xf numFmtId="0" fontId="58" fillId="12" borderId="0" xfId="0" applyFont="1" applyFill="1"/>
    <xf numFmtId="0" fontId="53" fillId="6" borderId="0" xfId="0" applyFont="1" applyFill="1"/>
    <xf numFmtId="3" fontId="22" fillId="0" borderId="0" xfId="0" applyNumberFormat="1" applyFont="1"/>
    <xf numFmtId="173" fontId="17" fillId="6" borderId="0" xfId="0" applyNumberFormat="1" applyFont="1" applyFill="1" applyAlignment="1">
      <alignment horizontal="center"/>
    </xf>
    <xf numFmtId="4" fontId="20" fillId="0" borderId="0" xfId="0" applyNumberFormat="1" applyFont="1"/>
    <xf numFmtId="3" fontId="20" fillId="0" borderId="0" xfId="0" applyNumberFormat="1" applyFont="1"/>
    <xf numFmtId="1" fontId="35" fillId="3" borderId="0" xfId="0" applyNumberFormat="1" applyFont="1" applyFill="1" applyAlignment="1">
      <alignment horizontal="center"/>
    </xf>
    <xf numFmtId="1" fontId="38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3" fontId="25" fillId="0" borderId="0" xfId="0" applyNumberFormat="1" applyFont="1"/>
    <xf numFmtId="3" fontId="18" fillId="0" borderId="0" xfId="0" applyNumberFormat="1" applyFont="1"/>
    <xf numFmtId="172" fontId="53" fillId="21" borderId="0" xfId="0" applyNumberFormat="1" applyFont="1" applyFill="1"/>
    <xf numFmtId="3" fontId="23" fillId="21" borderId="0" xfId="0" applyNumberFormat="1" applyFont="1" applyFill="1"/>
    <xf numFmtId="170" fontId="18" fillId="0" borderId="9" xfId="0" applyNumberFormat="1" applyFont="1" applyBorder="1"/>
    <xf numFmtId="174" fontId="18" fillId="0" borderId="0" xfId="0" applyNumberFormat="1" applyFont="1"/>
    <xf numFmtId="3" fontId="59" fillId="16" borderId="0" xfId="0" applyNumberFormat="1" applyFont="1" applyFill="1"/>
    <xf numFmtId="0" fontId="0" fillId="0" borderId="0" xfId="0" applyFont="1"/>
    <xf numFmtId="0" fontId="35" fillId="4" borderId="9" xfId="0" applyFont="1" applyFill="1" applyBorder="1" applyAlignment="1">
      <alignment vertical="top" wrapText="1"/>
    </xf>
    <xf numFmtId="3" fontId="35" fillId="4" borderId="0" xfId="0" applyNumberFormat="1" applyFont="1" applyFill="1"/>
    <xf numFmtId="3" fontId="35" fillId="0" borderId="0" xfId="0" applyNumberFormat="1" applyFont="1"/>
    <xf numFmtId="165" fontId="56" fillId="0" borderId="0" xfId="0" applyNumberFormat="1" applyFont="1"/>
    <xf numFmtId="0" fontId="56" fillId="0" borderId="0" xfId="0" applyFont="1"/>
    <xf numFmtId="9" fontId="0" fillId="0" borderId="0" xfId="0" applyNumberFormat="1"/>
    <xf numFmtId="0" fontId="41" fillId="7" borderId="0" xfId="0" quotePrefix="1" applyFont="1" applyFill="1" applyBorder="1"/>
    <xf numFmtId="0" fontId="41" fillId="4" borderId="0" xfId="0" quotePrefix="1" applyFont="1" applyFill="1" applyBorder="1"/>
    <xf numFmtId="0" fontId="41" fillId="9" borderId="0" xfId="0" quotePrefix="1" applyFont="1" applyFill="1" applyBorder="1"/>
    <xf numFmtId="0" fontId="41" fillId="10" borderId="0" xfId="0" applyFont="1" applyFill="1" applyBorder="1"/>
    <xf numFmtId="0" fontId="8" fillId="0" borderId="0" xfId="0" applyFont="1" applyBorder="1"/>
    <xf numFmtId="0" fontId="56" fillId="0" borderId="0" xfId="0" applyFont="1" applyBorder="1"/>
    <xf numFmtId="0" fontId="60" fillId="0" borderId="9" xfId="0" applyFont="1" applyBorder="1" applyAlignment="1">
      <alignment vertical="top" wrapText="1"/>
    </xf>
    <xf numFmtId="0" fontId="60" fillId="17" borderId="9" xfId="0" applyFont="1" applyFill="1" applyBorder="1" applyAlignment="1">
      <alignment vertical="top" wrapText="1"/>
    </xf>
    <xf numFmtId="0" fontId="60" fillId="17" borderId="9" xfId="0" applyFont="1" applyFill="1" applyBorder="1" applyAlignment="1">
      <alignment horizontal="center" vertical="top" wrapText="1"/>
    </xf>
    <xf numFmtId="0" fontId="60" fillId="22" borderId="9" xfId="0" applyFont="1" applyFill="1" applyBorder="1" applyAlignment="1">
      <alignment vertical="top" wrapText="1"/>
    </xf>
    <xf numFmtId="0" fontId="60" fillId="22" borderId="9" xfId="0" applyFont="1" applyFill="1" applyBorder="1" applyAlignment="1">
      <alignment horizontal="center" vertical="top" wrapText="1"/>
    </xf>
    <xf numFmtId="0" fontId="60" fillId="19" borderId="9" xfId="0" applyFont="1" applyFill="1" applyBorder="1" applyAlignment="1">
      <alignment vertical="top" wrapText="1"/>
    </xf>
    <xf numFmtId="0" fontId="60" fillId="19" borderId="9" xfId="0" applyFont="1" applyFill="1" applyBorder="1" applyAlignment="1">
      <alignment horizontal="center" vertical="top" wrapText="1"/>
    </xf>
    <xf numFmtId="0" fontId="60" fillId="0" borderId="9" xfId="0" applyFont="1" applyBorder="1" applyAlignment="1">
      <alignment horizontal="center" vertical="center" wrapText="1"/>
    </xf>
    <xf numFmtId="3" fontId="60" fillId="0" borderId="9" xfId="0" applyNumberFormat="1" applyFont="1" applyBorder="1" applyAlignment="1">
      <alignment vertical="top" wrapText="1"/>
    </xf>
    <xf numFmtId="3" fontId="60" fillId="0" borderId="9" xfId="0" applyNumberFormat="1" applyFont="1" applyBorder="1" applyAlignment="1">
      <alignment horizontal="center" vertical="top" wrapText="1"/>
    </xf>
    <xf numFmtId="3" fontId="60" fillId="22" borderId="9" xfId="0" applyNumberFormat="1" applyFont="1" applyFill="1" applyBorder="1" applyAlignment="1">
      <alignment vertical="top" wrapText="1"/>
    </xf>
    <xf numFmtId="3" fontId="60" fillId="19" borderId="9" xfId="0" applyNumberFormat="1" applyFont="1" applyFill="1" applyBorder="1" applyAlignment="1">
      <alignment vertical="top" wrapText="1"/>
    </xf>
    <xf numFmtId="3" fontId="60" fillId="17" borderId="9" xfId="0" applyNumberFormat="1" applyFont="1" applyFill="1" applyBorder="1" applyAlignment="1">
      <alignment vertical="top" wrapText="1"/>
    </xf>
    <xf numFmtId="0" fontId="35" fillId="12" borderId="9" xfId="0" applyFont="1" applyFill="1" applyBorder="1"/>
    <xf numFmtId="0" fontId="35" fillId="9" borderId="9" xfId="0" applyFont="1" applyFill="1" applyBorder="1"/>
    <xf numFmtId="0" fontId="17" fillId="0" borderId="0" xfId="0" applyFont="1" applyAlignment="1">
      <alignment horizontal="center"/>
    </xf>
    <xf numFmtId="165" fontId="23" fillId="0" borderId="0" xfId="0" applyNumberFormat="1" applyFont="1"/>
    <xf numFmtId="0" fontId="23" fillId="13" borderId="9" xfId="0" applyFont="1" applyFill="1" applyBorder="1" applyAlignment="1">
      <alignment vertical="top" wrapText="1"/>
    </xf>
    <xf numFmtId="3" fontId="17" fillId="13" borderId="0" xfId="0" applyNumberFormat="1" applyFont="1" applyFill="1"/>
    <xf numFmtId="0" fontId="22" fillId="7" borderId="9" xfId="0" quotePrefix="1" applyFont="1" applyFill="1" applyBorder="1"/>
    <xf numFmtId="0" fontId="41" fillId="7" borderId="42" xfId="0" quotePrefix="1" applyFont="1" applyFill="1" applyBorder="1"/>
    <xf numFmtId="0" fontId="41" fillId="7" borderId="30" xfId="0" quotePrefix="1" applyFont="1" applyFill="1" applyBorder="1"/>
    <xf numFmtId="3" fontId="40" fillId="4" borderId="9" xfId="0" applyNumberFormat="1" applyFont="1" applyFill="1" applyBorder="1"/>
    <xf numFmtId="3" fontId="22" fillId="13" borderId="9" xfId="0" applyNumberFormat="1" applyFont="1" applyFill="1" applyBorder="1"/>
    <xf numFmtId="3" fontId="58" fillId="13" borderId="9" xfId="0" applyNumberFormat="1" applyFont="1" applyFill="1" applyBorder="1"/>
    <xf numFmtId="3" fontId="62" fillId="13" borderId="9" xfId="0" applyNumberFormat="1" applyFont="1" applyFill="1" applyBorder="1"/>
    <xf numFmtId="0" fontId="22" fillId="8" borderId="9" xfId="0" quotePrefix="1" applyFont="1" applyFill="1" applyBorder="1"/>
    <xf numFmtId="0" fontId="41" fillId="4" borderId="30" xfId="0" quotePrefix="1" applyFont="1" applyFill="1" applyBorder="1"/>
    <xf numFmtId="3" fontId="58" fillId="0" borderId="9" xfId="0" applyNumberFormat="1" applyFont="1" applyBorder="1"/>
    <xf numFmtId="2" fontId="0" fillId="0" borderId="0" xfId="0" applyNumberFormat="1"/>
    <xf numFmtId="0" fontId="0" fillId="3" borderId="0" xfId="0" applyFill="1" applyAlignment="1">
      <alignment horizontal="right"/>
    </xf>
    <xf numFmtId="3" fontId="8" fillId="3" borderId="9" xfId="0" applyNumberFormat="1" applyFont="1" applyFill="1" applyBorder="1"/>
    <xf numFmtId="0" fontId="18" fillId="2" borderId="0" xfId="0" applyFont="1" applyFill="1" applyAlignment="1">
      <alignment horizontal="center"/>
    </xf>
    <xf numFmtId="2" fontId="18" fillId="2" borderId="0" xfId="0" applyNumberFormat="1" applyFont="1" applyFill="1" applyAlignment="1">
      <alignment horizontal="center"/>
    </xf>
    <xf numFmtId="3" fontId="22" fillId="0" borderId="0" xfId="0" applyNumberFormat="1" applyFont="1" applyBorder="1"/>
    <xf numFmtId="3" fontId="58" fillId="0" borderId="0" xfId="0" applyNumberFormat="1" applyFont="1" applyBorder="1"/>
    <xf numFmtId="0" fontId="45" fillId="3" borderId="0" xfId="0" applyFont="1" applyFill="1"/>
    <xf numFmtId="0" fontId="22" fillId="0" borderId="9" xfId="0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8" fillId="3" borderId="9" xfId="0" applyNumberFormat="1" applyFont="1" applyFill="1" applyBorder="1" applyAlignment="1">
      <alignment horizontal="center"/>
    </xf>
    <xf numFmtId="165" fontId="22" fillId="0" borderId="9" xfId="0" applyNumberFormat="1" applyFont="1" applyBorder="1" applyAlignment="1">
      <alignment horizontal="center"/>
    </xf>
    <xf numFmtId="3" fontId="63" fillId="0" borderId="0" xfId="0" applyNumberFormat="1" applyFont="1"/>
    <xf numFmtId="170" fontId="63" fillId="0" borderId="0" xfId="0" applyNumberFormat="1" applyFont="1"/>
    <xf numFmtId="3" fontId="60" fillId="3" borderId="9" xfId="0" applyNumberFormat="1" applyFont="1" applyFill="1" applyBorder="1" applyAlignment="1">
      <alignment vertical="top" wrapText="1"/>
    </xf>
    <xf numFmtId="0" fontId="39" fillId="0" borderId="0" xfId="0" applyFont="1"/>
    <xf numFmtId="3" fontId="0" fillId="0" borderId="2" xfId="0" applyNumberFormat="1" applyBorder="1"/>
    <xf numFmtId="3" fontId="63" fillId="0" borderId="2" xfId="0" applyNumberFormat="1" applyFont="1" applyBorder="1"/>
    <xf numFmtId="170" fontId="63" fillId="0" borderId="2" xfId="0" applyNumberFormat="1" applyFont="1" applyBorder="1"/>
    <xf numFmtId="3" fontId="0" fillId="0" borderId="0" xfId="0" applyNumberFormat="1" applyBorder="1"/>
    <xf numFmtId="3" fontId="63" fillId="0" borderId="0" xfId="0" applyNumberFormat="1" applyFont="1" applyBorder="1"/>
    <xf numFmtId="170" fontId="63" fillId="0" borderId="0" xfId="0" applyNumberFormat="1" applyFont="1" applyBorder="1"/>
    <xf numFmtId="0" fontId="27" fillId="4" borderId="4" xfId="0" applyFont="1" applyFill="1" applyBorder="1" applyAlignment="1">
      <alignment horizontal="center"/>
    </xf>
    <xf numFmtId="3" fontId="27" fillId="4" borderId="0" xfId="0" applyNumberFormat="1" applyFont="1" applyFill="1" applyBorder="1"/>
    <xf numFmtId="3" fontId="63" fillId="4" borderId="0" xfId="0" applyNumberFormat="1" applyFont="1" applyFill="1" applyBorder="1"/>
    <xf numFmtId="170" fontId="63" fillId="4" borderId="0" xfId="0" applyNumberFormat="1" applyFont="1" applyFill="1" applyBorder="1"/>
    <xf numFmtId="0" fontId="27" fillId="0" borderId="5" xfId="0" applyFont="1" applyBorder="1"/>
    <xf numFmtId="3" fontId="31" fillId="4" borderId="0" xfId="0" applyNumberFormat="1" applyFont="1" applyFill="1" applyBorder="1"/>
    <xf numFmtId="170" fontId="31" fillId="4" borderId="0" xfId="0" applyNumberFormat="1" applyFont="1" applyFill="1" applyBorder="1"/>
    <xf numFmtId="0" fontId="39" fillId="0" borderId="5" xfId="0" applyFont="1" applyBorder="1"/>
    <xf numFmtId="3" fontId="22" fillId="0" borderId="7" xfId="0" applyNumberFormat="1" applyFont="1" applyBorder="1"/>
    <xf numFmtId="3" fontId="63" fillId="0" borderId="7" xfId="0" applyNumberFormat="1" applyFont="1" applyBorder="1"/>
    <xf numFmtId="170" fontId="63" fillId="0" borderId="7" xfId="0" applyNumberFormat="1" applyFont="1" applyBorder="1"/>
    <xf numFmtId="0" fontId="20" fillId="4" borderId="8" xfId="0" applyFont="1" applyFill="1" applyBorder="1"/>
    <xf numFmtId="3" fontId="35" fillId="0" borderId="2" xfId="0" applyNumberFormat="1" applyFont="1" applyBorder="1"/>
    <xf numFmtId="0" fontId="35" fillId="0" borderId="3" xfId="0" applyFont="1" applyBorder="1"/>
    <xf numFmtId="0" fontId="35" fillId="0" borderId="4" xfId="0" applyFont="1" applyBorder="1"/>
    <xf numFmtId="3" fontId="35" fillId="0" borderId="0" xfId="0" applyNumberFormat="1" applyFont="1" applyBorder="1"/>
    <xf numFmtId="0" fontId="35" fillId="0" borderId="5" xfId="0" applyFont="1" applyBorder="1"/>
    <xf numFmtId="0" fontId="52" fillId="4" borderId="4" xfId="0" applyFont="1" applyFill="1" applyBorder="1" applyAlignment="1">
      <alignment horizontal="center"/>
    </xf>
    <xf numFmtId="3" fontId="52" fillId="4" borderId="0" xfId="0" applyNumberFormat="1" applyFont="1" applyFill="1" applyBorder="1"/>
    <xf numFmtId="0" fontId="52" fillId="0" borderId="5" xfId="0" applyFont="1" applyBorder="1"/>
    <xf numFmtId="0" fontId="37" fillId="0" borderId="5" xfId="0" applyFont="1" applyBorder="1"/>
    <xf numFmtId="3" fontId="40" fillId="0" borderId="0" xfId="0" applyNumberFormat="1" applyFont="1" applyBorder="1"/>
    <xf numFmtId="0" fontId="35" fillId="0" borderId="6" xfId="0" applyFont="1" applyBorder="1"/>
    <xf numFmtId="3" fontId="40" fillId="0" borderId="7" xfId="0" applyNumberFormat="1" applyFont="1" applyBorder="1"/>
    <xf numFmtId="0" fontId="0" fillId="0" borderId="4" xfId="0" applyFill="1" applyBorder="1"/>
    <xf numFmtId="165" fontId="12" fillId="3" borderId="0" xfId="0" applyNumberFormat="1" applyFont="1" applyFill="1"/>
    <xf numFmtId="3" fontId="20" fillId="4" borderId="0" xfId="0" applyNumberFormat="1" applyFont="1" applyFill="1"/>
    <xf numFmtId="3" fontId="63" fillId="3" borderId="7" xfId="0" applyNumberFormat="1" applyFont="1" applyFill="1" applyBorder="1"/>
    <xf numFmtId="170" fontId="63" fillId="3" borderId="7" xfId="0" applyNumberFormat="1" applyFont="1" applyFill="1" applyBorder="1"/>
    <xf numFmtId="175" fontId="20" fillId="4" borderId="8" xfId="0" applyNumberFormat="1" applyFont="1" applyFill="1" applyBorder="1"/>
    <xf numFmtId="172" fontId="41" fillId="17" borderId="38" xfId="0" applyNumberFormat="1" applyFont="1" applyFill="1" applyBorder="1"/>
    <xf numFmtId="172" fontId="45" fillId="2" borderId="38" xfId="0" applyNumberFormat="1" applyFont="1" applyFill="1" applyBorder="1" applyAlignment="1">
      <alignment horizontal="center"/>
    </xf>
    <xf numFmtId="176" fontId="0" fillId="0" borderId="0" xfId="0" applyNumberFormat="1"/>
    <xf numFmtId="0" fontId="17" fillId="23" borderId="9" xfId="0" applyFont="1" applyFill="1" applyBorder="1"/>
    <xf numFmtId="3" fontId="8" fillId="23" borderId="9" xfId="0" applyNumberFormat="1" applyFont="1" applyFill="1" applyBorder="1"/>
    <xf numFmtId="3" fontId="42" fillId="0" borderId="0" xfId="0" applyNumberFormat="1" applyFont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5" fillId="0" borderId="0" xfId="0" applyFont="1" applyAlignment="1">
      <alignment vertical="center"/>
    </xf>
    <xf numFmtId="0" fontId="0" fillId="3" borderId="0" xfId="0" applyFill="1" applyAlignment="1">
      <alignment vertical="center" wrapText="1"/>
    </xf>
    <xf numFmtId="0" fontId="42" fillId="0" borderId="39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2" fillId="0" borderId="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0" fillId="0" borderId="1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3" fontId="17" fillId="0" borderId="0" xfId="0" applyNumberFormat="1" applyFont="1" applyAlignment="1">
      <alignment horizontal="center"/>
    </xf>
    <xf numFmtId="0" fontId="60" fillId="10" borderId="42" xfId="0" applyFont="1" applyFill="1" applyBorder="1" applyAlignment="1">
      <alignment horizontal="center" vertical="top" wrapText="1"/>
    </xf>
    <xf numFmtId="0" fontId="60" fillId="10" borderId="43" xfId="0" applyFont="1" applyFill="1" applyBorder="1" applyAlignment="1">
      <alignment horizontal="center" vertical="top" wrapText="1"/>
    </xf>
    <xf numFmtId="0" fontId="60" fillId="10" borderId="30" xfId="0" applyFont="1" applyFill="1" applyBorder="1" applyAlignment="1">
      <alignment horizontal="center" vertical="top" wrapText="1"/>
    </xf>
    <xf numFmtId="0" fontId="60" fillId="5" borderId="42" xfId="0" applyFont="1" applyFill="1" applyBorder="1" applyAlignment="1">
      <alignment horizontal="center" vertical="top" wrapText="1"/>
    </xf>
    <xf numFmtId="0" fontId="60" fillId="5" borderId="43" xfId="0" applyFont="1" applyFill="1" applyBorder="1" applyAlignment="1">
      <alignment horizontal="center" vertical="top" wrapText="1"/>
    </xf>
    <xf numFmtId="0" fontId="60" fillId="5" borderId="30" xfId="0" applyFont="1" applyFill="1" applyBorder="1" applyAlignment="1">
      <alignment horizontal="center" vertical="top" wrapText="1"/>
    </xf>
    <xf numFmtId="0" fontId="60" fillId="22" borderId="10" xfId="0" applyFont="1" applyFill="1" applyBorder="1" applyAlignment="1">
      <alignment horizontal="center" vertical="center" wrapText="1"/>
    </xf>
    <xf numFmtId="0" fontId="60" fillId="22" borderId="40" xfId="0" applyFont="1" applyFill="1" applyBorder="1" applyAlignment="1">
      <alignment horizontal="center" vertical="center" wrapText="1"/>
    </xf>
    <xf numFmtId="0" fontId="60" fillId="22" borderId="41" xfId="0" applyFont="1" applyFill="1" applyBorder="1" applyAlignment="1">
      <alignment horizontal="center" vertical="center" wrapText="1"/>
    </xf>
    <xf numFmtId="0" fontId="60" fillId="17" borderId="10" xfId="0" applyFont="1" applyFill="1" applyBorder="1" applyAlignment="1">
      <alignment horizontal="center" vertical="center" wrapText="1"/>
    </xf>
    <xf numFmtId="0" fontId="60" fillId="17" borderId="40" xfId="0" applyFont="1" applyFill="1" applyBorder="1" applyAlignment="1">
      <alignment horizontal="center" vertical="center" wrapText="1"/>
    </xf>
    <xf numFmtId="0" fontId="60" fillId="17" borderId="41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0" fillId="19" borderId="10" xfId="0" applyFont="1" applyFill="1" applyBorder="1" applyAlignment="1">
      <alignment horizontal="center" vertical="center" wrapText="1"/>
    </xf>
    <xf numFmtId="0" fontId="60" fillId="19" borderId="40" xfId="0" applyFont="1" applyFill="1" applyBorder="1" applyAlignment="1">
      <alignment horizontal="center" vertical="center" wrapText="1"/>
    </xf>
    <xf numFmtId="0" fontId="60" fillId="19" borderId="41" xfId="0" applyFont="1" applyFill="1" applyBorder="1" applyAlignment="1">
      <alignment horizontal="center" vertical="center" wrapText="1"/>
    </xf>
    <xf numFmtId="0" fontId="53" fillId="15" borderId="0" xfId="0" applyFont="1" applyFill="1" applyAlignment="1">
      <alignment horizontal="center"/>
    </xf>
    <xf numFmtId="0" fontId="22" fillId="17" borderId="0" xfId="0" applyFont="1" applyFill="1" applyAlignment="1">
      <alignment horizontal="center" vertical="center" wrapText="1"/>
    </xf>
    <xf numFmtId="0" fontId="53" fillId="6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20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17" fillId="8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13" borderId="7" xfId="0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7" xfId="0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0" fillId="2" borderId="27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35" fillId="2" borderId="27" xfId="0" applyFont="1" applyFill="1" applyBorder="1" applyAlignment="1">
      <alignment horizontal="center" vertical="top" wrapText="1"/>
    </xf>
    <xf numFmtId="0" fontId="35" fillId="2" borderId="23" xfId="0" applyFont="1" applyFill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64" fillId="15" borderId="0" xfId="0" applyFont="1" applyFill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66FFCC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2</xdr:row>
      <xdr:rowOff>60960</xdr:rowOff>
    </xdr:from>
    <xdr:to>
      <xdr:col>5</xdr:col>
      <xdr:colOff>129540</xdr:colOff>
      <xdr:row>14</xdr:row>
      <xdr:rowOff>137160</xdr:rowOff>
    </xdr:to>
    <xdr:sp macro="" textlink="">
      <xdr:nvSpPr>
        <xdr:cNvPr id="2" name="Овал 1"/>
        <xdr:cNvSpPr/>
      </xdr:nvSpPr>
      <xdr:spPr>
        <a:xfrm>
          <a:off x="510540" y="464820"/>
          <a:ext cx="2667000" cy="25527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2000"/>
            <a:t>1. Селекционеры</a:t>
          </a:r>
        </a:p>
      </xdr:txBody>
    </xdr:sp>
    <xdr:clientData/>
  </xdr:twoCellAnchor>
  <xdr:twoCellAnchor>
    <xdr:from>
      <xdr:col>9</xdr:col>
      <xdr:colOff>0</xdr:colOff>
      <xdr:row>3</xdr:row>
      <xdr:rowOff>167640</xdr:rowOff>
    </xdr:from>
    <xdr:to>
      <xdr:col>13</xdr:col>
      <xdr:colOff>121920</xdr:colOff>
      <xdr:row>15</xdr:row>
      <xdr:rowOff>137160</xdr:rowOff>
    </xdr:to>
    <xdr:sp macro="" textlink="">
      <xdr:nvSpPr>
        <xdr:cNvPr id="3" name="Овал 2"/>
        <xdr:cNvSpPr/>
      </xdr:nvSpPr>
      <xdr:spPr>
        <a:xfrm>
          <a:off x="5486400" y="754380"/>
          <a:ext cx="2560320" cy="2476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2000"/>
            <a:t>2.</a:t>
          </a:r>
          <a:r>
            <a:rPr lang="ru-RU" sz="2000" baseline="0"/>
            <a:t> Производственная площадка для выращивания семян</a:t>
          </a:r>
        </a:p>
      </xdr:txBody>
    </xdr:sp>
    <xdr:clientData/>
  </xdr:twoCellAnchor>
  <xdr:twoCellAnchor>
    <xdr:from>
      <xdr:col>6</xdr:col>
      <xdr:colOff>68580</xdr:colOff>
      <xdr:row>19</xdr:row>
      <xdr:rowOff>144780</xdr:rowOff>
    </xdr:from>
    <xdr:to>
      <xdr:col>10</xdr:col>
      <xdr:colOff>53340</xdr:colOff>
      <xdr:row>30</xdr:row>
      <xdr:rowOff>42333</xdr:rowOff>
    </xdr:to>
    <xdr:sp macro="" textlink="">
      <xdr:nvSpPr>
        <xdr:cNvPr id="4" name="Овал 3"/>
        <xdr:cNvSpPr/>
      </xdr:nvSpPr>
      <xdr:spPr>
        <a:xfrm>
          <a:off x="3726180" y="4005580"/>
          <a:ext cx="2423160" cy="214122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2000"/>
            <a:t>3. Хозяйства</a:t>
          </a:r>
          <a:r>
            <a:rPr lang="ru-RU" sz="2000" baseline="0"/>
            <a:t> (товарное овощеводство)</a:t>
          </a:r>
          <a:endParaRPr lang="ru-RU" sz="2000"/>
        </a:p>
      </xdr:txBody>
    </xdr:sp>
    <xdr:clientData/>
  </xdr:twoCellAnchor>
  <xdr:twoCellAnchor>
    <xdr:from>
      <xdr:col>5</xdr:col>
      <xdr:colOff>53340</xdr:colOff>
      <xdr:row>4</xdr:row>
      <xdr:rowOff>137160</xdr:rowOff>
    </xdr:from>
    <xdr:to>
      <xdr:col>9</xdr:col>
      <xdr:colOff>129540</xdr:colOff>
      <xdr:row>9</xdr:row>
      <xdr:rowOff>60960</xdr:rowOff>
    </xdr:to>
    <xdr:sp macro="" textlink="">
      <xdr:nvSpPr>
        <xdr:cNvPr id="5" name="Стрелка вправо 4"/>
        <xdr:cNvSpPr/>
      </xdr:nvSpPr>
      <xdr:spPr>
        <a:xfrm>
          <a:off x="3101340" y="868680"/>
          <a:ext cx="2514600" cy="838200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rgbClr val="FF0000"/>
              </a:solidFill>
            </a:rPr>
            <a:t>передают</a:t>
          </a:r>
          <a:r>
            <a:rPr lang="ru-RU" sz="1400" b="1" baseline="0">
              <a:solidFill>
                <a:srgbClr val="FF0000"/>
              </a:solidFill>
            </a:rPr>
            <a:t> семена. Платно?</a:t>
          </a:r>
          <a:endParaRPr lang="ru-RU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533400</xdr:colOff>
      <xdr:row>9</xdr:row>
      <xdr:rowOff>167640</xdr:rowOff>
    </xdr:from>
    <xdr:to>
      <xdr:col>8</xdr:col>
      <xdr:colOff>525780</xdr:colOff>
      <xdr:row>14</xdr:row>
      <xdr:rowOff>76200</xdr:rowOff>
    </xdr:to>
    <xdr:sp macro="" textlink="">
      <xdr:nvSpPr>
        <xdr:cNvPr id="6" name="Стрелка влево 5"/>
        <xdr:cNvSpPr/>
      </xdr:nvSpPr>
      <xdr:spPr>
        <a:xfrm>
          <a:off x="2971800" y="1813560"/>
          <a:ext cx="2430780" cy="822960"/>
        </a:xfrm>
        <a:prstGeom prst="lef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>
              <a:solidFill>
                <a:srgbClr val="FF0000"/>
              </a:solidFill>
              <a:latin typeface="+mn-lt"/>
              <a:ea typeface="+mn-ea"/>
              <a:cs typeface="+mn-cs"/>
            </a:rPr>
            <a:t>продают</a:t>
          </a:r>
          <a:r>
            <a:rPr lang="ru-RU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семена по 4 тыс.р</a:t>
          </a:r>
          <a:endParaRPr lang="ru-RU" sz="1100"/>
        </a:p>
      </xdr:txBody>
    </xdr:sp>
    <xdr:clientData/>
  </xdr:twoCellAnchor>
  <xdr:twoCellAnchor>
    <xdr:from>
      <xdr:col>3</xdr:col>
      <xdr:colOff>579120</xdr:colOff>
      <xdr:row>14</xdr:row>
      <xdr:rowOff>22860</xdr:rowOff>
    </xdr:from>
    <xdr:to>
      <xdr:col>6</xdr:col>
      <xdr:colOff>68580</xdr:colOff>
      <xdr:row>24</xdr:row>
      <xdr:rowOff>114300</xdr:rowOff>
    </xdr:to>
    <xdr:sp macro="" textlink="">
      <xdr:nvSpPr>
        <xdr:cNvPr id="7" name="Стрелка вниз 6"/>
        <xdr:cNvSpPr/>
      </xdr:nvSpPr>
      <xdr:spPr>
        <a:xfrm>
          <a:off x="2407920" y="2903220"/>
          <a:ext cx="1318260" cy="2110740"/>
        </a:xfrm>
        <a:prstGeom prst="downArrow">
          <a:avLst/>
        </a:prstGeom>
        <a:solidFill>
          <a:schemeClr val="bg1"/>
        </a:solidFill>
        <a:scene3d>
          <a:camera prst="orthographicFront">
            <a:rot lat="0" lon="1800000" rev="2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rgbClr val="FF0000"/>
              </a:solidFill>
            </a:rPr>
            <a:t>продают семена по 50 тыс.руб.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60" zoomScaleNormal="60" workbookViewId="0">
      <selection activeCell="I17" sqref="I17"/>
    </sheetView>
  </sheetViews>
  <sheetFormatPr defaultColWidth="8.85546875" defaultRowHeight="15.75" x14ac:dyDescent="0.25"/>
  <cols>
    <col min="1" max="1" width="65.28515625" style="202" customWidth="1"/>
    <col min="2" max="2" width="8.85546875" style="306"/>
    <col min="3" max="3" width="1.28515625" style="202" customWidth="1"/>
    <col min="4" max="4" width="66.85546875" style="202" customWidth="1"/>
    <col min="5" max="5" width="10.7109375" style="202" customWidth="1"/>
    <col min="6" max="6" width="1" style="202" customWidth="1"/>
    <col min="7" max="7" width="51.7109375" style="382" customWidth="1"/>
    <col min="8" max="8" width="8.85546875" style="202"/>
    <col min="9" max="9" width="9.85546875" style="202" customWidth="1"/>
    <col min="10" max="10" width="2.7109375" style="202" customWidth="1"/>
    <col min="11" max="11" width="8.28515625" style="202" customWidth="1"/>
    <col min="12" max="12" width="1.140625" style="202" customWidth="1"/>
    <col min="13" max="16384" width="8.85546875" style="202"/>
  </cols>
  <sheetData>
    <row r="1" spans="1:12" ht="16.5" thickBot="1" x14ac:dyDescent="0.3">
      <c r="A1" s="538" t="s">
        <v>383</v>
      </c>
      <c r="B1" s="539"/>
      <c r="C1" s="539"/>
      <c r="D1" s="539"/>
      <c r="E1" s="540"/>
      <c r="G1" s="376" t="s">
        <v>402</v>
      </c>
      <c r="H1" s="331"/>
      <c r="I1" s="541" t="s">
        <v>121</v>
      </c>
      <c r="J1" s="541"/>
      <c r="K1" s="541"/>
      <c r="L1" s="332"/>
    </row>
    <row r="2" spans="1:12" ht="21" x14ac:dyDescent="0.35">
      <c r="A2" s="333" t="s">
        <v>273</v>
      </c>
      <c r="B2" s="334"/>
      <c r="C2" s="335"/>
      <c r="D2" s="336" t="s">
        <v>285</v>
      </c>
      <c r="E2" s="337"/>
      <c r="G2" s="377" t="str">
        <f>A2</f>
        <v>Традиционная технология</v>
      </c>
      <c r="H2" s="331"/>
      <c r="I2" s="331" t="s">
        <v>274</v>
      </c>
      <c r="J2" s="331"/>
      <c r="K2" s="332" t="s">
        <v>275</v>
      </c>
      <c r="L2" s="337"/>
    </row>
    <row r="3" spans="1:12" ht="32.25" thickBot="1" x14ac:dyDescent="0.3">
      <c r="A3" s="338" t="s">
        <v>381</v>
      </c>
      <c r="B3" s="339"/>
      <c r="C3" s="335"/>
      <c r="D3" s="340" t="s">
        <v>303</v>
      </c>
      <c r="E3" s="341"/>
      <c r="G3" s="378"/>
      <c r="H3" s="203" t="s">
        <v>276</v>
      </c>
      <c r="I3" s="335">
        <f>B4+B5+B6*1.3</f>
        <v>4397</v>
      </c>
      <c r="J3" s="335"/>
      <c r="K3" s="337"/>
      <c r="L3" s="337"/>
    </row>
    <row r="4" spans="1:12" ht="16.5" thickBot="1" x14ac:dyDescent="0.3">
      <c r="A4" s="342" t="s">
        <v>371</v>
      </c>
      <c r="B4" s="316">
        <v>950</v>
      </c>
      <c r="C4" s="335"/>
      <c r="D4" s="343" t="s">
        <v>380</v>
      </c>
      <c r="E4" s="316">
        <v>12000</v>
      </c>
      <c r="G4" s="379" t="s">
        <v>277</v>
      </c>
      <c r="H4" s="204" t="s">
        <v>278</v>
      </c>
      <c r="I4" s="335">
        <f>B9+B10+B11*1.3</f>
        <v>3488</v>
      </c>
      <c r="J4" s="335"/>
      <c r="K4" s="337"/>
      <c r="L4" s="337"/>
    </row>
    <row r="5" spans="1:12" ht="26.45" customHeight="1" thickBot="1" x14ac:dyDescent="0.3">
      <c r="A5" s="342" t="s">
        <v>372</v>
      </c>
      <c r="B5" s="316">
        <v>15</v>
      </c>
      <c r="C5" s="335"/>
      <c r="D5" s="340" t="s">
        <v>304</v>
      </c>
      <c r="E5" s="341"/>
      <c r="G5" s="379" t="s">
        <v>279</v>
      </c>
      <c r="H5" s="205" t="s">
        <v>280</v>
      </c>
      <c r="I5" s="334">
        <f>B14</f>
        <v>6.3</v>
      </c>
      <c r="J5" s="335"/>
      <c r="K5" s="337"/>
      <c r="L5" s="337"/>
    </row>
    <row r="6" spans="1:12" ht="16.5" thickBot="1" x14ac:dyDescent="0.3">
      <c r="A6" s="342" t="s">
        <v>373</v>
      </c>
      <c r="B6" s="316">
        <f>50*2*12+120*12</f>
        <v>2640</v>
      </c>
      <c r="C6" s="335"/>
      <c r="D6" s="343" t="s">
        <v>371</v>
      </c>
      <c r="E6" s="316">
        <v>900</v>
      </c>
      <c r="G6" s="379" t="s">
        <v>281</v>
      </c>
      <c r="H6" s="206" t="s">
        <v>282</v>
      </c>
      <c r="I6" s="335">
        <f>B20*B19</f>
        <v>2040</v>
      </c>
      <c r="J6" s="335"/>
      <c r="K6" s="337"/>
      <c r="L6" s="337"/>
    </row>
    <row r="7" spans="1:12" ht="16.5" thickBot="1" x14ac:dyDescent="0.3">
      <c r="A7" s="344"/>
      <c r="B7" s="339"/>
      <c r="C7" s="335"/>
      <c r="D7" s="343" t="s">
        <v>372</v>
      </c>
      <c r="E7" s="316">
        <v>300</v>
      </c>
      <c r="G7" s="380" t="s">
        <v>283</v>
      </c>
      <c r="H7" s="357" t="s">
        <v>284</v>
      </c>
      <c r="I7" s="358"/>
      <c r="J7" s="351"/>
      <c r="K7" s="356">
        <f>B23*B24</f>
        <v>8500</v>
      </c>
      <c r="L7" s="337"/>
    </row>
    <row r="8" spans="1:12" ht="16.5" thickBot="1" x14ac:dyDescent="0.3">
      <c r="A8" s="338" t="s">
        <v>293</v>
      </c>
      <c r="B8" s="339"/>
      <c r="C8" s="335"/>
      <c r="D8" s="343" t="s">
        <v>373</v>
      </c>
      <c r="E8" s="316">
        <f>120*12</f>
        <v>1440</v>
      </c>
      <c r="G8" s="378"/>
      <c r="H8" s="335"/>
      <c r="I8" s="354"/>
      <c r="J8" s="335"/>
      <c r="K8" s="335"/>
      <c r="L8" s="337"/>
    </row>
    <row r="9" spans="1:12" ht="32.25" thickBot="1" x14ac:dyDescent="0.3">
      <c r="A9" s="342" t="s">
        <v>371</v>
      </c>
      <c r="B9" s="316">
        <v>20</v>
      </c>
      <c r="C9" s="335"/>
      <c r="D9" s="340" t="s">
        <v>305</v>
      </c>
      <c r="E9" s="345"/>
      <c r="G9" s="378"/>
      <c r="H9" s="335"/>
      <c r="I9" s="354"/>
      <c r="J9" s="335"/>
      <c r="K9" s="335"/>
      <c r="L9" s="337"/>
    </row>
    <row r="10" spans="1:12" ht="16.5" thickBot="1" x14ac:dyDescent="0.3">
      <c r="A10" s="342" t="s">
        <v>372</v>
      </c>
      <c r="B10" s="316">
        <v>36</v>
      </c>
      <c r="C10" s="335"/>
      <c r="D10" s="343" t="s">
        <v>371</v>
      </c>
      <c r="E10" s="316">
        <v>950</v>
      </c>
      <c r="G10" s="378"/>
      <c r="H10" s="335"/>
      <c r="I10" s="354"/>
      <c r="J10" s="335"/>
      <c r="K10" s="335"/>
      <c r="L10" s="337"/>
    </row>
    <row r="11" spans="1:12" ht="21.75" thickBot="1" x14ac:dyDescent="0.3">
      <c r="A11" s="342" t="s">
        <v>373</v>
      </c>
      <c r="B11" s="316">
        <f>2*50*12+120*12</f>
        <v>2640</v>
      </c>
      <c r="C11" s="335"/>
      <c r="D11" s="343" t="s">
        <v>372</v>
      </c>
      <c r="E11" s="316">
        <v>15</v>
      </c>
      <c r="G11" s="384" t="str">
        <f>D2</f>
        <v>Инновационная технология</v>
      </c>
      <c r="H11" s="335"/>
      <c r="I11" s="335" t="s">
        <v>274</v>
      </c>
      <c r="J11" s="335"/>
      <c r="K11" s="335" t="s">
        <v>275</v>
      </c>
      <c r="L11" s="337"/>
    </row>
    <row r="12" spans="1:12" ht="16.5" thickBot="1" x14ac:dyDescent="0.3">
      <c r="A12" s="344"/>
      <c r="B12" s="339"/>
      <c r="C12" s="335"/>
      <c r="D12" s="343" t="s">
        <v>373</v>
      </c>
      <c r="E12" s="316">
        <f>50*2*12+120*12</f>
        <v>2640</v>
      </c>
      <c r="G12" s="537" t="s">
        <v>94</v>
      </c>
      <c r="H12" s="208">
        <v>1</v>
      </c>
      <c r="I12" s="354">
        <f>E4</f>
        <v>12000</v>
      </c>
      <c r="J12" s="335"/>
      <c r="K12" s="335"/>
      <c r="L12" s="337"/>
    </row>
    <row r="13" spans="1:12" ht="16.5" thickBot="1" x14ac:dyDescent="0.3">
      <c r="A13" s="338" t="s">
        <v>294</v>
      </c>
      <c r="B13" s="339"/>
      <c r="C13" s="335"/>
      <c r="D13" s="346"/>
      <c r="E13" s="345"/>
      <c r="G13" s="537" t="s">
        <v>97</v>
      </c>
      <c r="H13" s="355">
        <v>2</v>
      </c>
      <c r="I13" s="354">
        <f>E6+E7+E8*1.3</f>
        <v>3072</v>
      </c>
      <c r="J13" s="335"/>
      <c r="K13" s="335"/>
      <c r="L13" s="337"/>
    </row>
    <row r="14" spans="1:12" ht="19.899999999999999" customHeight="1" thickBot="1" x14ac:dyDescent="0.3">
      <c r="A14" s="342" t="s">
        <v>371</v>
      </c>
      <c r="B14" s="316">
        <v>6.3</v>
      </c>
      <c r="C14" s="335"/>
      <c r="D14" s="340" t="s">
        <v>293</v>
      </c>
      <c r="E14" s="345"/>
      <c r="G14" s="537" t="s">
        <v>286</v>
      </c>
      <c r="H14" s="210">
        <v>3</v>
      </c>
      <c r="I14" s="354">
        <f>E10+E11+E12*1.3</f>
        <v>4397</v>
      </c>
      <c r="J14" s="335"/>
      <c r="K14" s="335"/>
      <c r="L14" s="337"/>
    </row>
    <row r="15" spans="1:12" ht="16.5" thickBot="1" x14ac:dyDescent="0.3">
      <c r="A15" s="342" t="s">
        <v>372</v>
      </c>
      <c r="B15" s="316"/>
      <c r="C15" s="335"/>
      <c r="D15" s="343" t="s">
        <v>371</v>
      </c>
      <c r="E15" s="316">
        <v>20</v>
      </c>
      <c r="G15" s="537"/>
      <c r="H15" s="210">
        <v>4</v>
      </c>
      <c r="I15" s="335">
        <f>E10+E11+E12*1.3</f>
        <v>4397</v>
      </c>
      <c r="J15" s="335"/>
      <c r="K15" s="335"/>
      <c r="L15" s="337"/>
    </row>
    <row r="16" spans="1:12" ht="16.5" thickBot="1" x14ac:dyDescent="0.3">
      <c r="A16" s="342" t="s">
        <v>373</v>
      </c>
      <c r="B16" s="316"/>
      <c r="C16" s="335"/>
      <c r="D16" s="343" t="s">
        <v>372</v>
      </c>
      <c r="E16" s="316">
        <v>36</v>
      </c>
      <c r="G16" s="537" t="s">
        <v>277</v>
      </c>
      <c r="H16" s="211">
        <v>4</v>
      </c>
      <c r="I16" s="354">
        <f>E15+E16</f>
        <v>56</v>
      </c>
      <c r="J16" s="335"/>
      <c r="K16" s="335"/>
      <c r="L16" s="337"/>
    </row>
    <row r="17" spans="1:12" ht="16.5" thickBot="1" x14ac:dyDescent="0.3">
      <c r="A17" s="344"/>
      <c r="B17" s="339"/>
      <c r="C17" s="335"/>
      <c r="D17" s="343" t="s">
        <v>373</v>
      </c>
      <c r="E17" s="316">
        <f>2*50*12+120*12</f>
        <v>2640</v>
      </c>
      <c r="G17" s="537"/>
      <c r="H17" s="211">
        <v>5</v>
      </c>
      <c r="I17" s="335">
        <f>E15+E16+E17*1.3</f>
        <v>3488</v>
      </c>
      <c r="J17" s="335"/>
      <c r="K17" s="335"/>
      <c r="L17" s="337"/>
    </row>
    <row r="18" spans="1:12" ht="32.25" thickBot="1" x14ac:dyDescent="0.3">
      <c r="A18" s="338" t="s">
        <v>374</v>
      </c>
      <c r="B18" s="339"/>
      <c r="C18" s="335"/>
      <c r="D18" s="346"/>
      <c r="E18" s="345"/>
      <c r="G18" s="379" t="s">
        <v>279</v>
      </c>
      <c r="H18" s="212" t="s">
        <v>287</v>
      </c>
      <c r="I18" s="354">
        <f>E20</f>
        <v>6.3</v>
      </c>
      <c r="J18" s="335"/>
      <c r="K18" s="335"/>
      <c r="L18" s="337"/>
    </row>
    <row r="19" spans="1:12" ht="16.5" thickBot="1" x14ac:dyDescent="0.3">
      <c r="A19" s="342" t="s">
        <v>375</v>
      </c>
      <c r="B19" s="316">
        <v>510</v>
      </c>
      <c r="C19" s="335"/>
      <c r="D19" s="340" t="s">
        <v>294</v>
      </c>
      <c r="E19" s="345"/>
      <c r="G19" s="379" t="s">
        <v>281</v>
      </c>
      <c r="H19" s="213" t="s">
        <v>288</v>
      </c>
      <c r="I19" s="354">
        <f>E25*E26</f>
        <v>2040</v>
      </c>
      <c r="J19" s="335"/>
      <c r="K19" s="335"/>
      <c r="L19" s="337"/>
    </row>
    <row r="20" spans="1:12" ht="16.5" thickBot="1" x14ac:dyDescent="0.3">
      <c r="A20" s="342" t="s">
        <v>376</v>
      </c>
      <c r="B20" s="404">
        <f>4</f>
        <v>4</v>
      </c>
      <c r="C20" s="335"/>
      <c r="D20" s="343" t="s">
        <v>371</v>
      </c>
      <c r="E20" s="316">
        <v>6.3</v>
      </c>
      <c r="G20" s="379" t="s">
        <v>283</v>
      </c>
      <c r="H20" s="214" t="s">
        <v>289</v>
      </c>
      <c r="I20" s="335"/>
      <c r="J20" s="335"/>
      <c r="K20" s="354">
        <f>E29*E30</f>
        <v>8500</v>
      </c>
      <c r="L20" s="337"/>
    </row>
    <row r="21" spans="1:12" ht="16.5" thickBot="1" x14ac:dyDescent="0.3">
      <c r="A21" s="342"/>
      <c r="B21" s="339"/>
      <c r="C21" s="335"/>
      <c r="D21" s="343" t="s">
        <v>372</v>
      </c>
      <c r="E21" s="316"/>
      <c r="G21" s="381"/>
      <c r="H21" s="351"/>
      <c r="I21" s="351"/>
      <c r="J21" s="351"/>
      <c r="K21" s="351"/>
      <c r="L21" s="356"/>
    </row>
    <row r="22" spans="1:12" ht="16.5" thickBot="1" x14ac:dyDescent="0.3">
      <c r="A22" s="338" t="s">
        <v>299</v>
      </c>
      <c r="B22" s="339"/>
      <c r="C22" s="335"/>
      <c r="D22" s="343" t="s">
        <v>373</v>
      </c>
      <c r="E22" s="316"/>
    </row>
    <row r="23" spans="1:12" ht="16.5" thickBot="1" x14ac:dyDescent="0.3">
      <c r="A23" s="342" t="s">
        <v>377</v>
      </c>
      <c r="B23" s="316">
        <v>170</v>
      </c>
      <c r="C23" s="335"/>
      <c r="D23" s="346"/>
      <c r="E23" s="345"/>
    </row>
    <row r="24" spans="1:12" ht="32.25" thickBot="1" x14ac:dyDescent="0.3">
      <c r="A24" s="342" t="s">
        <v>378</v>
      </c>
      <c r="B24" s="528">
        <v>50</v>
      </c>
      <c r="C24" s="335"/>
      <c r="D24" s="340" t="s">
        <v>374</v>
      </c>
      <c r="E24" s="345"/>
      <c r="G24" s="383"/>
    </row>
    <row r="25" spans="1:12" ht="16.5" thickBot="1" x14ac:dyDescent="0.3">
      <c r="A25" s="342" t="s">
        <v>379</v>
      </c>
      <c r="B25" s="316">
        <v>0</v>
      </c>
      <c r="C25" s="335"/>
      <c r="D25" s="343" t="s">
        <v>375</v>
      </c>
      <c r="E25" s="316">
        <v>510</v>
      </c>
    </row>
    <row r="26" spans="1:12" ht="16.5" thickBot="1" x14ac:dyDescent="0.3">
      <c r="A26" s="347"/>
      <c r="B26" s="334"/>
      <c r="C26" s="335"/>
      <c r="D26" s="343" t="s">
        <v>376</v>
      </c>
      <c r="E26" s="316">
        <f>B20</f>
        <v>4</v>
      </c>
    </row>
    <row r="27" spans="1:12" x14ac:dyDescent="0.25">
      <c r="A27" s="347"/>
      <c r="B27" s="334"/>
      <c r="C27" s="335"/>
      <c r="D27" s="343"/>
      <c r="E27" s="345"/>
    </row>
    <row r="28" spans="1:12" ht="16.5" thickBot="1" x14ac:dyDescent="0.3">
      <c r="A28" s="348"/>
      <c r="B28" s="334"/>
      <c r="C28" s="335"/>
      <c r="D28" s="340" t="s">
        <v>299</v>
      </c>
      <c r="E28" s="345"/>
    </row>
    <row r="29" spans="1:12" ht="16.5" thickBot="1" x14ac:dyDescent="0.3">
      <c r="A29" s="348"/>
      <c r="B29" s="334"/>
      <c r="C29" s="335"/>
      <c r="D29" s="343" t="s">
        <v>377</v>
      </c>
      <c r="E29" s="316">
        <v>170</v>
      </c>
    </row>
    <row r="30" spans="1:12" ht="16.5" thickBot="1" x14ac:dyDescent="0.3">
      <c r="A30" s="348"/>
      <c r="B30" s="334"/>
      <c r="C30" s="335"/>
      <c r="D30" s="343" t="s">
        <v>378</v>
      </c>
      <c r="E30" s="527">
        <f>B24</f>
        <v>50</v>
      </c>
    </row>
    <row r="31" spans="1:12" ht="16.5" thickBot="1" x14ac:dyDescent="0.3">
      <c r="A31" s="349"/>
      <c r="B31" s="350"/>
      <c r="C31" s="351"/>
      <c r="D31" s="352" t="s">
        <v>379</v>
      </c>
      <c r="E31" s="316">
        <v>0</v>
      </c>
    </row>
  </sheetData>
  <mergeCells count="5">
    <mergeCell ref="G14:G15"/>
    <mergeCell ref="G16:G17"/>
    <mergeCell ref="G12:G13"/>
    <mergeCell ref="A1:E1"/>
    <mergeCell ref="I1:K1"/>
  </mergeCells>
  <pageMargins left="0.32" right="0.2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topLeftCell="A55" workbookViewId="0">
      <selection activeCell="A122" sqref="A122"/>
    </sheetView>
  </sheetViews>
  <sheetFormatPr defaultRowHeight="15" x14ac:dyDescent="0.25"/>
  <cols>
    <col min="1" max="1" width="26" customWidth="1"/>
    <col min="2" max="2" width="6.28515625" customWidth="1"/>
    <col min="3" max="3" width="7.7109375" customWidth="1"/>
    <col min="4" max="4" width="6.85546875" customWidth="1"/>
    <col min="5" max="5" width="7.7109375" customWidth="1"/>
    <col min="6" max="6" width="7.7109375" style="146" customWidth="1"/>
    <col min="7" max="8" width="7.7109375" customWidth="1"/>
    <col min="9" max="9" width="7.7109375" style="146" customWidth="1"/>
    <col min="10" max="13" width="7.7109375" customWidth="1"/>
    <col min="14" max="14" width="7.7109375" style="146" customWidth="1"/>
    <col min="15" max="21" width="7.7109375" customWidth="1"/>
    <col min="22" max="22" width="8.7109375" customWidth="1"/>
    <col min="23" max="23" width="10.85546875" style="188" customWidth="1"/>
    <col min="24" max="24" width="12.5703125" style="188" customWidth="1"/>
    <col min="25" max="25" width="8.85546875" style="188"/>
  </cols>
  <sheetData>
    <row r="1" spans="1:25" x14ac:dyDescent="0.25">
      <c r="A1" s="418" t="s">
        <v>426</v>
      </c>
      <c r="B1" s="418"/>
      <c r="C1" s="418"/>
      <c r="D1" s="418"/>
      <c r="E1" s="418"/>
      <c r="F1" s="418"/>
      <c r="G1" s="418"/>
      <c r="H1" s="418"/>
      <c r="I1" s="121" t="s">
        <v>416</v>
      </c>
      <c r="J1" s="420">
        <v>1</v>
      </c>
      <c r="K1" t="s">
        <v>422</v>
      </c>
      <c r="L1" s="422">
        <f>W79</f>
        <v>431410.65287117672</v>
      </c>
      <c r="M1" s="112" t="s">
        <v>423</v>
      </c>
      <c r="N1" s="423">
        <f>X64</f>
        <v>82086.987473545305</v>
      </c>
      <c r="O1" s="112" t="s">
        <v>424</v>
      </c>
      <c r="P1" s="424">
        <f>X66</f>
        <v>1004.143584691761</v>
      </c>
      <c r="Q1" s="112" t="s">
        <v>425</v>
      </c>
      <c r="R1" s="425">
        <f>X65</f>
        <v>348319.52181293961</v>
      </c>
    </row>
    <row r="2" spans="1:25" x14ac:dyDescent="0.25">
      <c r="B2">
        <v>1</v>
      </c>
      <c r="C2">
        <f>B2+1</f>
        <v>2</v>
      </c>
      <c r="D2">
        <f t="shared" ref="D2:V2" si="0">C2+1</f>
        <v>3</v>
      </c>
      <c r="E2">
        <f t="shared" si="0"/>
        <v>4</v>
      </c>
      <c r="F2" s="146">
        <f t="shared" si="0"/>
        <v>5</v>
      </c>
      <c r="G2" s="146">
        <f t="shared" si="0"/>
        <v>6</v>
      </c>
      <c r="H2" s="146">
        <f t="shared" si="0"/>
        <v>7</v>
      </c>
      <c r="I2" s="146">
        <f t="shared" si="0"/>
        <v>8</v>
      </c>
      <c r="J2" s="146">
        <f t="shared" si="0"/>
        <v>9</v>
      </c>
      <c r="K2" s="146">
        <f t="shared" si="0"/>
        <v>10</v>
      </c>
      <c r="L2" s="146">
        <f t="shared" si="0"/>
        <v>11</v>
      </c>
      <c r="M2" s="146">
        <f t="shared" si="0"/>
        <v>12</v>
      </c>
      <c r="N2" s="146">
        <f t="shared" si="0"/>
        <v>13</v>
      </c>
      <c r="O2" s="146">
        <f t="shared" si="0"/>
        <v>14</v>
      </c>
      <c r="P2" s="146">
        <f t="shared" si="0"/>
        <v>15</v>
      </c>
      <c r="Q2" s="146">
        <f t="shared" si="0"/>
        <v>16</v>
      </c>
      <c r="R2" s="146">
        <f t="shared" si="0"/>
        <v>17</v>
      </c>
      <c r="S2" s="146">
        <f t="shared" si="0"/>
        <v>18</v>
      </c>
      <c r="T2" s="146">
        <f t="shared" si="0"/>
        <v>19</v>
      </c>
      <c r="U2" s="146">
        <f t="shared" si="0"/>
        <v>20</v>
      </c>
      <c r="V2" s="146">
        <f t="shared" si="0"/>
        <v>21</v>
      </c>
      <c r="W2" s="188" t="s">
        <v>258</v>
      </c>
      <c r="X2" s="188" t="s">
        <v>40</v>
      </c>
    </row>
    <row r="3" spans="1:25" ht="18.75" x14ac:dyDescent="0.3">
      <c r="A3" s="262" t="s">
        <v>262</v>
      </c>
      <c r="B3" s="262"/>
      <c r="C3" s="262"/>
      <c r="D3" s="262"/>
      <c r="E3" s="262"/>
    </row>
    <row r="4" spans="1:25" x14ac:dyDescent="0.25">
      <c r="A4" s="244" t="s">
        <v>259</v>
      </c>
      <c r="B4" s="261">
        <f>'1сел'!B5+'1сел'!B6+'1сел'!B7+'1сел'!B10</f>
        <v>4397</v>
      </c>
      <c r="C4" s="261">
        <f>'1сел'!C5+'1сел'!C6+'1сел'!C7+'1сел'!C10</f>
        <v>4397</v>
      </c>
      <c r="D4" s="261">
        <f>'1сел'!D5+'1сел'!D6+'1сел'!D7+'1сел'!D10</f>
        <v>4397</v>
      </c>
      <c r="E4" s="261">
        <f>'1сел'!E5+'1сел'!E6+'1сел'!E7+'1сел'!E10</f>
        <v>4397</v>
      </c>
      <c r="F4" s="261">
        <f>'1сел'!F5+'1сел'!F6+'1сел'!F7+'1сел'!F10</f>
        <v>4397</v>
      </c>
      <c r="G4" s="261">
        <f>'1сел'!G5+'1сел'!G6+'1сел'!G7+'1сел'!G10</f>
        <v>4397</v>
      </c>
      <c r="H4" s="261">
        <f>'1сел'!H5+'1сел'!H6+'1сел'!H7+'1сел'!H10</f>
        <v>4397</v>
      </c>
      <c r="I4" s="261">
        <f>'1сел'!I5+'1сел'!I6+'1сел'!I7+'1сел'!I10</f>
        <v>4397</v>
      </c>
      <c r="J4" s="261">
        <f>'1сел'!J5+'1сел'!J6+'1сел'!J7+'1сел'!J10</f>
        <v>4397</v>
      </c>
      <c r="K4" s="261">
        <f>'1сел'!K5+'1сел'!K6+'1сел'!K7+'1сел'!K10</f>
        <v>4397</v>
      </c>
      <c r="L4" s="261">
        <f>'1сел'!L5+'1сел'!L6+'1сел'!L7+'1сел'!L10</f>
        <v>4397</v>
      </c>
      <c r="M4" s="261">
        <f>'1сел'!M5+'1сел'!M6+'1сел'!M7+'1сел'!M10</f>
        <v>4397</v>
      </c>
      <c r="N4" s="261">
        <f>'1сел'!N5+'1сел'!N6+'1сел'!N7+'1сел'!N10</f>
        <v>3488</v>
      </c>
      <c r="O4" s="261">
        <f>'1сел'!O5+'1сел'!O6+'1сел'!O7+'1сел'!O10</f>
        <v>3488</v>
      </c>
      <c r="P4" s="261">
        <f>'1сел'!P5+'1сел'!P6+'1сел'!P7+'1сел'!P10</f>
        <v>6.3</v>
      </c>
      <c r="Q4" s="261">
        <f>'1сел'!Q5+'1сел'!Q6+'1сел'!Q7+'1сел'!Q10</f>
        <v>0</v>
      </c>
      <c r="R4" s="261">
        <f>'1сел'!R5+'1сел'!R6+'1сел'!R7+'1сел'!R10</f>
        <v>0</v>
      </c>
      <c r="S4" s="261">
        <f>'1сел'!S5+'1сел'!S6+'1сел'!S7+'1сел'!S10</f>
        <v>2040</v>
      </c>
      <c r="T4" s="261">
        <f>'1сел'!T5+'1сел'!T6+'1сел'!T7+'1сел'!T10</f>
        <v>0</v>
      </c>
      <c r="U4" s="261">
        <f>'1сел'!U5+'1сел'!U6+'1сел'!U7+'1сел'!U10</f>
        <v>0</v>
      </c>
      <c r="V4" s="261">
        <f>'1сел'!V5+'1сел'!V6+'1сел'!V7+'1сел'!V10</f>
        <v>0</v>
      </c>
      <c r="W4" s="199">
        <f t="shared" ref="W4:W22" si="1">SUM(B4:V4)</f>
        <v>61786.3</v>
      </c>
      <c r="X4" s="189">
        <f>NPV('1сел'!$X$1,B4:V4)</f>
        <v>53272.586999344836</v>
      </c>
    </row>
    <row r="5" spans="1:25" x14ac:dyDescent="0.25">
      <c r="A5" s="244" t="s">
        <v>261</v>
      </c>
      <c r="B5" s="58">
        <f>('3товар'!B4+'3товар'!B5)*1000</f>
        <v>935000</v>
      </c>
      <c r="C5" s="58">
        <f>('3товар'!C4+'3товар'!C5)*1000</f>
        <v>935000</v>
      </c>
      <c r="D5" s="58">
        <f>('3товар'!D4+'3товар'!D5)*1000</f>
        <v>935000</v>
      </c>
      <c r="E5" s="58">
        <f>('3товар'!E4+'3товар'!E5)*1000</f>
        <v>935000</v>
      </c>
      <c r="F5" s="251">
        <f>('3товар'!F4+'3товар'!F5)*1000</f>
        <v>935000</v>
      </c>
      <c r="G5" s="58">
        <f>('3товар'!G4+'3товар'!G5)*1000</f>
        <v>935000</v>
      </c>
      <c r="H5" s="58">
        <f>('3товар'!H4+'3товар'!H5)*1000</f>
        <v>935000</v>
      </c>
      <c r="I5" s="251">
        <f>('3товар'!I4+'3товар'!I5)*1000</f>
        <v>935000</v>
      </c>
      <c r="J5" s="58">
        <f>('3товар'!J4+'3товар'!J5)*1000</f>
        <v>935000</v>
      </c>
      <c r="K5" s="58">
        <f>('3товар'!K4+'3товар'!K5)*1000</f>
        <v>935000</v>
      </c>
      <c r="L5" s="58">
        <f>('3товар'!L4+'3товар'!L5)*1000</f>
        <v>935000</v>
      </c>
      <c r="M5" s="58">
        <f>('3товар'!M4+'3товар'!M5)*1000</f>
        <v>935000</v>
      </c>
      <c r="N5" s="251">
        <f>('3товар'!N4+'3товар'!N5)*1000</f>
        <v>935000</v>
      </c>
      <c r="O5" s="58">
        <f>('3товар'!O4+'3товар'!O5)*1000</f>
        <v>935000</v>
      </c>
      <c r="P5" s="58">
        <f>('3товар'!P4+'3товар'!P5)*1000</f>
        <v>935000</v>
      </c>
      <c r="Q5" s="58">
        <f>('3товар'!Q4+'3товар'!Q5)*1000</f>
        <v>935000</v>
      </c>
      <c r="R5" s="58">
        <f>('3товар'!R4+'3товар'!R5)*1000</f>
        <v>935000</v>
      </c>
      <c r="S5" s="58">
        <f>('3товар'!S4+'3товар'!S5)*1000</f>
        <v>935000</v>
      </c>
      <c r="T5" s="58">
        <f>('3товар'!T4+'3товар'!T5)*1000</f>
        <v>884000</v>
      </c>
      <c r="U5" s="58">
        <f>('3товар'!U4+'3товар'!U5)*1000</f>
        <v>884000</v>
      </c>
      <c r="V5" s="58">
        <f>('3товар'!V4+'3товар'!V5)*1000</f>
        <v>884000</v>
      </c>
      <c r="W5" s="199">
        <f t="shared" si="1"/>
        <v>19482000</v>
      </c>
      <c r="X5" s="189">
        <f>NPV('1сел'!$X$1,B5:V5)</f>
        <v>15802502.492488489</v>
      </c>
    </row>
    <row r="6" spans="1:25" x14ac:dyDescent="0.25">
      <c r="A6" s="244" t="s">
        <v>260</v>
      </c>
      <c r="B6" s="247">
        <f>('2сем'!B4+'2сем'!B9+'2сем'!B10)</f>
        <v>0</v>
      </c>
      <c r="C6" s="247">
        <f>('2сем'!C4+'2сем'!C9+'2сем'!C10)</f>
        <v>0</v>
      </c>
      <c r="D6" s="247">
        <f>('2сем'!D4+'2сем'!D9+'2сем'!D10)</f>
        <v>0</v>
      </c>
      <c r="E6" s="247">
        <f>('2сем'!E4+'2сем'!E9+'2сем'!E10)</f>
        <v>0</v>
      </c>
      <c r="F6" s="253">
        <f>('2сем'!F4+'2сем'!F9+'2сем'!F10)</f>
        <v>0</v>
      </c>
      <c r="G6" s="247">
        <f>('2сем'!G4+'2сем'!G9+'2сем'!G10)</f>
        <v>0</v>
      </c>
      <c r="H6" s="247">
        <f>('2сем'!H4+'2сем'!H9+'2сем'!H10)</f>
        <v>0</v>
      </c>
      <c r="I6" s="253">
        <f>('2сем'!I4+'2сем'!I9+'2сем'!I10)</f>
        <v>0</v>
      </c>
      <c r="J6" s="247">
        <f>('2сем'!J4+'2сем'!J9+'2сем'!J10)</f>
        <v>0</v>
      </c>
      <c r="K6" s="247">
        <f>('2сем'!K4+'2сем'!K9+'2сем'!K10)</f>
        <v>0</v>
      </c>
      <c r="L6" s="247">
        <f>('2сем'!L4+'2сем'!L9+'2сем'!L10)</f>
        <v>0</v>
      </c>
      <c r="M6" s="247">
        <f>('2сем'!M4+'2сем'!M9+'2сем'!M10)</f>
        <v>0</v>
      </c>
      <c r="N6" s="253">
        <f>('2сем'!N4+'2сем'!N9+'2сем'!N10)</f>
        <v>0</v>
      </c>
      <c r="O6" s="247">
        <f>('2сем'!O4+'2сем'!O9+'2сем'!O10)</f>
        <v>0</v>
      </c>
      <c r="P6" s="247">
        <f>('2сем'!P4+'2сем'!P9+'2сем'!P10)</f>
        <v>0</v>
      </c>
      <c r="Q6" s="247">
        <f>('2сем'!Q4+'2сем'!Q9+'2сем'!Q10)</f>
        <v>0</v>
      </c>
      <c r="R6" s="247">
        <f>('2сем'!R4+'2сем'!R9+'2сем'!R10)</f>
        <v>800.00000000000011</v>
      </c>
      <c r="S6" s="247">
        <f>('2сем'!S4+'2сем'!S9+'2сем'!S10)</f>
        <v>800.00000000000011</v>
      </c>
      <c r="T6" s="247">
        <f>('2сем'!T4+'2сем'!T9+'2сем'!T10)</f>
        <v>0</v>
      </c>
      <c r="U6" s="247">
        <f>('2сем'!U4+'2сем'!U9+'2сем'!U10)</f>
        <v>0</v>
      </c>
      <c r="V6" s="247">
        <f>('2сем'!V4+'2сем'!V9+'2сем'!V10)</f>
        <v>0</v>
      </c>
      <c r="W6" s="199">
        <f t="shared" si="1"/>
        <v>1600.0000000000002</v>
      </c>
      <c r="X6" s="189">
        <f>NPV('1сел'!$X$1,B6:V6)</f>
        <v>1131.457549944447</v>
      </c>
    </row>
    <row r="7" spans="1:25" s="37" customFormat="1" ht="12.75" x14ac:dyDescent="0.2">
      <c r="A7" s="40" t="s">
        <v>263</v>
      </c>
      <c r="B7" s="40">
        <f>SUM(B4:B6)</f>
        <v>939397</v>
      </c>
      <c r="C7" s="40">
        <f t="shared" ref="C7:V7" si="2">SUM(C4:C6)</f>
        <v>939397</v>
      </c>
      <c r="D7" s="40">
        <f t="shared" si="2"/>
        <v>939397</v>
      </c>
      <c r="E7" s="40">
        <f t="shared" si="2"/>
        <v>939397</v>
      </c>
      <c r="F7" s="252">
        <f t="shared" si="2"/>
        <v>939397</v>
      </c>
      <c r="G7" s="40">
        <f t="shared" si="2"/>
        <v>939397</v>
      </c>
      <c r="H7" s="40">
        <f t="shared" si="2"/>
        <v>939397</v>
      </c>
      <c r="I7" s="252">
        <f t="shared" si="2"/>
        <v>939397</v>
      </c>
      <c r="J7" s="40">
        <f t="shared" si="2"/>
        <v>939397</v>
      </c>
      <c r="K7" s="40">
        <f t="shared" si="2"/>
        <v>939397</v>
      </c>
      <c r="L7" s="40">
        <f t="shared" si="2"/>
        <v>939397</v>
      </c>
      <c r="M7" s="40">
        <f t="shared" si="2"/>
        <v>939397</v>
      </c>
      <c r="N7" s="252">
        <f t="shared" si="2"/>
        <v>938488</v>
      </c>
      <c r="O7" s="40">
        <f t="shared" si="2"/>
        <v>938488</v>
      </c>
      <c r="P7" s="40">
        <f t="shared" si="2"/>
        <v>935006.3</v>
      </c>
      <c r="Q7" s="40">
        <f t="shared" si="2"/>
        <v>935000</v>
      </c>
      <c r="R7" s="40">
        <f t="shared" si="2"/>
        <v>935800</v>
      </c>
      <c r="S7" s="40">
        <f t="shared" si="2"/>
        <v>937840</v>
      </c>
      <c r="T7" s="40">
        <f t="shared" si="2"/>
        <v>884000</v>
      </c>
      <c r="U7" s="40">
        <f t="shared" si="2"/>
        <v>884000</v>
      </c>
      <c r="V7" s="40">
        <f t="shared" si="2"/>
        <v>884000</v>
      </c>
      <c r="W7" s="200">
        <f t="shared" si="1"/>
        <v>19545386.300000001</v>
      </c>
      <c r="X7" s="189">
        <f>NPV('1сел'!$X$1,B7:V7)</f>
        <v>15856906.537037784</v>
      </c>
      <c r="Y7" s="193"/>
    </row>
    <row r="8" spans="1:25" x14ac:dyDescent="0.25">
      <c r="A8" s="201" t="s">
        <v>264</v>
      </c>
      <c r="W8" s="189">
        <f t="shared" si="1"/>
        <v>0</v>
      </c>
      <c r="X8" s="189">
        <f>NPV('1сел'!$X$1,B8:V8)</f>
        <v>0</v>
      </c>
    </row>
    <row r="9" spans="1:25" x14ac:dyDescent="0.25">
      <c r="A9" s="191" t="s">
        <v>265</v>
      </c>
      <c r="B9" s="215">
        <f>'1сел'!B11</f>
        <v>0</v>
      </c>
      <c r="C9" s="215">
        <f>'1сел'!C11</f>
        <v>0</v>
      </c>
      <c r="D9" s="215">
        <f>'1сел'!D11</f>
        <v>0</v>
      </c>
      <c r="E9" s="215">
        <f>'1сел'!E11</f>
        <v>0</v>
      </c>
      <c r="F9" s="254">
        <f>'1сел'!F11</f>
        <v>0</v>
      </c>
      <c r="G9" s="215">
        <f>'1сел'!G11</f>
        <v>0</v>
      </c>
      <c r="H9" s="215">
        <f>'1сел'!H11</f>
        <v>0</v>
      </c>
      <c r="I9" s="254">
        <f>'1сел'!I11</f>
        <v>0</v>
      </c>
      <c r="J9" s="215">
        <f>'1сел'!J11</f>
        <v>0</v>
      </c>
      <c r="K9" s="215">
        <f>'1сел'!K11</f>
        <v>0</v>
      </c>
      <c r="L9" s="215">
        <f>'1сел'!L11</f>
        <v>0</v>
      </c>
      <c r="M9" s="215">
        <f>'1сел'!M11</f>
        <v>0</v>
      </c>
      <c r="N9" s="254">
        <f>'1сел'!N11</f>
        <v>0</v>
      </c>
      <c r="O9" s="215">
        <f>'1сел'!O11</f>
        <v>0</v>
      </c>
      <c r="P9" s="215">
        <f>'1сел'!P11</f>
        <v>0</v>
      </c>
      <c r="Q9" s="215">
        <f>'1сел'!Q11</f>
        <v>0</v>
      </c>
      <c r="R9" s="215">
        <f>'1сел'!R11</f>
        <v>0</v>
      </c>
      <c r="S9" s="215">
        <f>'1сел'!S11</f>
        <v>0</v>
      </c>
      <c r="T9" s="215">
        <f>'1сел'!T11</f>
        <v>8500</v>
      </c>
      <c r="U9" s="215">
        <f>'1сел'!U11</f>
        <v>8500</v>
      </c>
      <c r="V9" s="215">
        <f>'1сел'!V11</f>
        <v>8500</v>
      </c>
      <c r="W9" s="189">
        <f t="shared" si="1"/>
        <v>25500</v>
      </c>
      <c r="X9" s="189">
        <f>NPV('1сел'!$X$1,B9:V9)</f>
        <v>17163.012232032492</v>
      </c>
    </row>
    <row r="10" spans="1:25" x14ac:dyDescent="0.25">
      <c r="A10" s="191" t="s">
        <v>267</v>
      </c>
      <c r="B10" s="245">
        <f>'3товар'!B6*1000</f>
        <v>2805000</v>
      </c>
      <c r="C10" s="245">
        <f>'3товар'!C6*1000</f>
        <v>2805000</v>
      </c>
      <c r="D10" s="245">
        <f>'3товар'!D6*1000</f>
        <v>2805000</v>
      </c>
      <c r="E10" s="245">
        <f>'3товар'!E6*1000</f>
        <v>2805000</v>
      </c>
      <c r="F10" s="255">
        <f>'3товар'!F6*1000</f>
        <v>2805000</v>
      </c>
      <c r="G10" s="245">
        <f>'3товар'!G6*1000</f>
        <v>2805000</v>
      </c>
      <c r="H10" s="245">
        <f>'3товар'!H6*1000</f>
        <v>2805000</v>
      </c>
      <c r="I10" s="255">
        <f>'3товар'!I6*1000</f>
        <v>2805000</v>
      </c>
      <c r="J10" s="245">
        <f>'3товар'!J6*1000</f>
        <v>2805000</v>
      </c>
      <c r="K10" s="245">
        <f>'3товар'!K6*1000</f>
        <v>2805000</v>
      </c>
      <c r="L10" s="245">
        <f>'3товар'!L6*1000</f>
        <v>2805000</v>
      </c>
      <c r="M10" s="245">
        <f>'3товар'!M6*1000</f>
        <v>2805000</v>
      </c>
      <c r="N10" s="255">
        <f>'3товар'!N6*1000</f>
        <v>2805000</v>
      </c>
      <c r="O10" s="245">
        <f>'3товар'!O6*1000</f>
        <v>2805000</v>
      </c>
      <c r="P10" s="245">
        <f>'3товар'!P6*1000</f>
        <v>2805000</v>
      </c>
      <c r="Q10" s="245">
        <f>'3товар'!Q6*1000</f>
        <v>2805000</v>
      </c>
      <c r="R10" s="245">
        <f>'3товар'!R6*1000</f>
        <v>2805000</v>
      </c>
      <c r="S10" s="245">
        <f>'3товар'!S6*1000</f>
        <v>2805000</v>
      </c>
      <c r="T10" s="245">
        <f>'3товар'!T6*1000</f>
        <v>2805000</v>
      </c>
      <c r="U10" s="245">
        <f>'3товар'!U6*1000</f>
        <v>2805000</v>
      </c>
      <c r="V10" s="245">
        <f>'3товар'!V6*1000</f>
        <v>2805000</v>
      </c>
      <c r="W10" s="189">
        <f t="shared" si="1"/>
        <v>58905000</v>
      </c>
      <c r="X10" s="189">
        <f>NPV('1сел'!$X$1,B10:V10)</f>
        <v>47716441.697642058</v>
      </c>
    </row>
    <row r="11" spans="1:25" x14ac:dyDescent="0.25">
      <c r="A11" s="191" t="s">
        <v>266</v>
      </c>
      <c r="B11" s="215">
        <f>'2сем'!B11</f>
        <v>0</v>
      </c>
      <c r="C11" s="215">
        <f>'2сем'!C11</f>
        <v>0</v>
      </c>
      <c r="D11" s="215">
        <f>'2сем'!D11</f>
        <v>0</v>
      </c>
      <c r="E11" s="215">
        <f>'2сем'!E11</f>
        <v>0</v>
      </c>
      <c r="F11" s="254">
        <f>'2сем'!F11</f>
        <v>0</v>
      </c>
      <c r="G11" s="215">
        <f>'2сем'!G11</f>
        <v>0</v>
      </c>
      <c r="H11" s="215">
        <f>'2сем'!H11</f>
        <v>0</v>
      </c>
      <c r="I11" s="254">
        <f>'2сем'!I11</f>
        <v>0</v>
      </c>
      <c r="J11" s="215">
        <f>'2сем'!J11</f>
        <v>0</v>
      </c>
      <c r="K11" s="215">
        <f>'2сем'!K11</f>
        <v>0</v>
      </c>
      <c r="L11" s="215">
        <f>'2сем'!L11</f>
        <v>0</v>
      </c>
      <c r="M11" s="215">
        <f>'2сем'!M11</f>
        <v>0</v>
      </c>
      <c r="N11" s="254">
        <f>'2сем'!N11</f>
        <v>0</v>
      </c>
      <c r="O11" s="215">
        <f>'2сем'!O11</f>
        <v>0</v>
      </c>
      <c r="P11" s="215">
        <f>'2сем'!P11</f>
        <v>0</v>
      </c>
      <c r="Q11" s="215">
        <f>'2сем'!Q11</f>
        <v>0</v>
      </c>
      <c r="R11" s="215">
        <f>'2сем'!R11</f>
        <v>0</v>
      </c>
      <c r="S11" s="215">
        <f>'2сем'!S11</f>
        <v>2040</v>
      </c>
      <c r="T11" s="215">
        <f>'2сем'!T11</f>
        <v>0</v>
      </c>
      <c r="U11" s="215">
        <f>'2сем'!U11</f>
        <v>0</v>
      </c>
      <c r="V11" s="215">
        <f>'2сем'!V11</f>
        <v>0</v>
      </c>
      <c r="W11" s="189">
        <f t="shared" si="1"/>
        <v>2040</v>
      </c>
      <c r="X11" s="189">
        <f>NPV('1сел'!$X$1,B11:V11)</f>
        <v>1428.325124929871</v>
      </c>
    </row>
    <row r="12" spans="1:25" s="188" customFormat="1" x14ac:dyDescent="0.25">
      <c r="A12" s="194" t="s">
        <v>263</v>
      </c>
      <c r="B12" s="194">
        <f>SUM(B9:B11)</f>
        <v>2805000</v>
      </c>
      <c r="C12" s="194">
        <f t="shared" ref="C12:V12" si="3">SUM(C9:C11)</f>
        <v>2805000</v>
      </c>
      <c r="D12" s="194">
        <f t="shared" si="3"/>
        <v>2805000</v>
      </c>
      <c r="E12" s="194">
        <f t="shared" si="3"/>
        <v>2805000</v>
      </c>
      <c r="F12" s="256">
        <f t="shared" si="3"/>
        <v>2805000</v>
      </c>
      <c r="G12" s="194">
        <f t="shared" si="3"/>
        <v>2805000</v>
      </c>
      <c r="H12" s="194">
        <f t="shared" si="3"/>
        <v>2805000</v>
      </c>
      <c r="I12" s="256">
        <f t="shared" si="3"/>
        <v>2805000</v>
      </c>
      <c r="J12" s="194">
        <f t="shared" si="3"/>
        <v>2805000</v>
      </c>
      <c r="K12" s="194">
        <f t="shared" si="3"/>
        <v>2805000</v>
      </c>
      <c r="L12" s="194">
        <f t="shared" si="3"/>
        <v>2805000</v>
      </c>
      <c r="M12" s="194">
        <f t="shared" si="3"/>
        <v>2805000</v>
      </c>
      <c r="N12" s="256">
        <f t="shared" si="3"/>
        <v>2805000</v>
      </c>
      <c r="O12" s="194">
        <f t="shared" si="3"/>
        <v>2805000</v>
      </c>
      <c r="P12" s="194">
        <f t="shared" si="3"/>
        <v>2805000</v>
      </c>
      <c r="Q12" s="194">
        <f t="shared" si="3"/>
        <v>2805000</v>
      </c>
      <c r="R12" s="194">
        <f t="shared" si="3"/>
        <v>2805000</v>
      </c>
      <c r="S12" s="194">
        <f t="shared" si="3"/>
        <v>2807040</v>
      </c>
      <c r="T12" s="194">
        <f t="shared" si="3"/>
        <v>2813500</v>
      </c>
      <c r="U12" s="194">
        <f t="shared" si="3"/>
        <v>2813500</v>
      </c>
      <c r="V12" s="194">
        <f t="shared" si="3"/>
        <v>2813500</v>
      </c>
      <c r="W12" s="189">
        <f t="shared" si="1"/>
        <v>58932540</v>
      </c>
      <c r="X12" s="189">
        <f>NPV('1сел'!$X$1,B12:V12)</f>
        <v>47735033.034999028</v>
      </c>
    </row>
    <row r="13" spans="1:25" x14ac:dyDescent="0.25">
      <c r="A13" s="48" t="s">
        <v>268</v>
      </c>
      <c r="B13" s="37">
        <f>B9-B4</f>
        <v>-4397</v>
      </c>
      <c r="C13" s="37">
        <f t="shared" ref="C13:V15" si="4">C9-C4</f>
        <v>-4397</v>
      </c>
      <c r="D13" s="37">
        <f t="shared" si="4"/>
        <v>-4397</v>
      </c>
      <c r="E13" s="37">
        <f t="shared" si="4"/>
        <v>-4397</v>
      </c>
      <c r="F13" s="257">
        <f t="shared" si="4"/>
        <v>-4397</v>
      </c>
      <c r="G13" s="37">
        <f t="shared" si="4"/>
        <v>-4397</v>
      </c>
      <c r="H13" s="37">
        <f t="shared" si="4"/>
        <v>-4397</v>
      </c>
      <c r="I13" s="257">
        <f t="shared" si="4"/>
        <v>-4397</v>
      </c>
      <c r="J13" s="37">
        <f t="shared" si="4"/>
        <v>-4397</v>
      </c>
      <c r="K13" s="37">
        <f t="shared" si="4"/>
        <v>-4397</v>
      </c>
      <c r="L13" s="37">
        <f t="shared" si="4"/>
        <v>-4397</v>
      </c>
      <c r="M13" s="37">
        <f t="shared" si="4"/>
        <v>-4397</v>
      </c>
      <c r="N13" s="257">
        <f t="shared" si="4"/>
        <v>-3488</v>
      </c>
      <c r="O13" s="37">
        <f t="shared" si="4"/>
        <v>-3488</v>
      </c>
      <c r="P13" s="37">
        <f t="shared" si="4"/>
        <v>-6.3</v>
      </c>
      <c r="Q13" s="37">
        <f t="shared" si="4"/>
        <v>0</v>
      </c>
      <c r="R13" s="37">
        <f t="shared" si="4"/>
        <v>0</v>
      </c>
      <c r="S13" s="37">
        <f t="shared" si="4"/>
        <v>-2040</v>
      </c>
      <c r="T13" s="37">
        <f t="shared" si="4"/>
        <v>8500</v>
      </c>
      <c r="U13" s="37">
        <f t="shared" si="4"/>
        <v>8500</v>
      </c>
      <c r="V13" s="37">
        <f t="shared" si="4"/>
        <v>8500</v>
      </c>
      <c r="W13" s="189">
        <f t="shared" si="1"/>
        <v>-36286.300000000003</v>
      </c>
      <c r="X13" s="189">
        <f>NPV('1сел'!$X$1,B13:V13)</f>
        <v>-36109.574767312348</v>
      </c>
    </row>
    <row r="14" spans="1:25" x14ac:dyDescent="0.25">
      <c r="A14" s="245" t="s">
        <v>269</v>
      </c>
      <c r="B14" s="245">
        <f>B10-B5</f>
        <v>1870000</v>
      </c>
      <c r="C14" s="245">
        <f t="shared" si="4"/>
        <v>1870000</v>
      </c>
      <c r="D14" s="245">
        <f t="shared" si="4"/>
        <v>1870000</v>
      </c>
      <c r="E14" s="245">
        <f t="shared" si="4"/>
        <v>1870000</v>
      </c>
      <c r="F14" s="255">
        <f t="shared" si="4"/>
        <v>1870000</v>
      </c>
      <c r="G14" s="245">
        <f t="shared" si="4"/>
        <v>1870000</v>
      </c>
      <c r="H14" s="245">
        <f t="shared" si="4"/>
        <v>1870000</v>
      </c>
      <c r="I14" s="255">
        <f t="shared" si="4"/>
        <v>1870000</v>
      </c>
      <c r="J14" s="245">
        <f t="shared" si="4"/>
        <v>1870000</v>
      </c>
      <c r="K14" s="245">
        <f t="shared" si="4"/>
        <v>1870000</v>
      </c>
      <c r="L14" s="245">
        <f t="shared" si="4"/>
        <v>1870000</v>
      </c>
      <c r="M14" s="245">
        <f t="shared" si="4"/>
        <v>1870000</v>
      </c>
      <c r="N14" s="255">
        <f t="shared" si="4"/>
        <v>1870000</v>
      </c>
      <c r="O14" s="245">
        <f t="shared" si="4"/>
        <v>1870000</v>
      </c>
      <c r="P14" s="245">
        <f t="shared" si="4"/>
        <v>1870000</v>
      </c>
      <c r="Q14" s="245">
        <f t="shared" si="4"/>
        <v>1870000</v>
      </c>
      <c r="R14" s="245">
        <f t="shared" si="4"/>
        <v>1870000</v>
      </c>
      <c r="S14" s="245">
        <f t="shared" si="4"/>
        <v>1870000</v>
      </c>
      <c r="T14" s="245">
        <f t="shared" si="4"/>
        <v>1921000</v>
      </c>
      <c r="U14" s="245">
        <f t="shared" si="4"/>
        <v>1921000</v>
      </c>
      <c r="V14" s="245">
        <f t="shared" si="4"/>
        <v>1921000</v>
      </c>
      <c r="W14" s="189">
        <f t="shared" si="1"/>
        <v>39423000</v>
      </c>
      <c r="X14" s="189">
        <f>NPV('1сел'!$X$1,B14:V14)</f>
        <v>31913939.205153566</v>
      </c>
    </row>
    <row r="15" spans="1:25" x14ac:dyDescent="0.25">
      <c r="A15" s="48" t="s">
        <v>270</v>
      </c>
      <c r="B15" s="246">
        <f>B11-B6</f>
        <v>0</v>
      </c>
      <c r="C15" s="246">
        <f t="shared" si="4"/>
        <v>0</v>
      </c>
      <c r="D15" s="246">
        <f t="shared" si="4"/>
        <v>0</v>
      </c>
      <c r="E15" s="246">
        <f t="shared" si="4"/>
        <v>0</v>
      </c>
      <c r="F15" s="258">
        <f t="shared" si="4"/>
        <v>0</v>
      </c>
      <c r="G15" s="246">
        <f t="shared" si="4"/>
        <v>0</v>
      </c>
      <c r="H15" s="246">
        <f t="shared" si="4"/>
        <v>0</v>
      </c>
      <c r="I15" s="258">
        <f t="shared" si="4"/>
        <v>0</v>
      </c>
      <c r="J15" s="246">
        <f t="shared" si="4"/>
        <v>0</v>
      </c>
      <c r="K15" s="246">
        <f t="shared" si="4"/>
        <v>0</v>
      </c>
      <c r="L15" s="246">
        <f t="shared" si="4"/>
        <v>0</v>
      </c>
      <c r="M15" s="246">
        <f t="shared" si="4"/>
        <v>0</v>
      </c>
      <c r="N15" s="258">
        <f t="shared" si="4"/>
        <v>0</v>
      </c>
      <c r="O15" s="246">
        <f t="shared" si="4"/>
        <v>0</v>
      </c>
      <c r="P15" s="246">
        <f t="shared" si="4"/>
        <v>0</v>
      </c>
      <c r="Q15" s="246">
        <f t="shared" si="4"/>
        <v>0</v>
      </c>
      <c r="R15" s="246">
        <f t="shared" si="4"/>
        <v>-800.00000000000011</v>
      </c>
      <c r="S15" s="246">
        <f t="shared" si="4"/>
        <v>1240</v>
      </c>
      <c r="T15" s="246">
        <f t="shared" si="4"/>
        <v>0</v>
      </c>
      <c r="U15" s="246">
        <f t="shared" si="4"/>
        <v>0</v>
      </c>
      <c r="V15" s="246">
        <f t="shared" si="4"/>
        <v>0</v>
      </c>
      <c r="W15" s="189">
        <f t="shared" si="1"/>
        <v>439.99999999999989</v>
      </c>
      <c r="X15" s="189">
        <f>NPV('1сел'!$X$1,B15:V15)</f>
        <v>296.86757498542408</v>
      </c>
    </row>
    <row r="16" spans="1:25" x14ac:dyDescent="0.25">
      <c r="A16" s="48" t="s">
        <v>271</v>
      </c>
      <c r="B16" s="37">
        <f>SUM(B13:B15)</f>
        <v>1865603</v>
      </c>
      <c r="C16" s="37">
        <f t="shared" ref="C16:V16" si="5">SUM(C13:C15)</f>
        <v>1865603</v>
      </c>
      <c r="D16" s="37">
        <f t="shared" si="5"/>
        <v>1865603</v>
      </c>
      <c r="E16" s="37">
        <f t="shared" si="5"/>
        <v>1865603</v>
      </c>
      <c r="F16" s="257">
        <f t="shared" si="5"/>
        <v>1865603</v>
      </c>
      <c r="G16" s="37">
        <f t="shared" si="5"/>
        <v>1865603</v>
      </c>
      <c r="H16" s="37">
        <f t="shared" si="5"/>
        <v>1865603</v>
      </c>
      <c r="I16" s="257">
        <f t="shared" si="5"/>
        <v>1865603</v>
      </c>
      <c r="J16" s="37">
        <f t="shared" si="5"/>
        <v>1865603</v>
      </c>
      <c r="K16" s="37">
        <f t="shared" si="5"/>
        <v>1865603</v>
      </c>
      <c r="L16" s="37">
        <f t="shared" si="5"/>
        <v>1865603</v>
      </c>
      <c r="M16" s="37">
        <f t="shared" si="5"/>
        <v>1865603</v>
      </c>
      <c r="N16" s="257">
        <f t="shared" si="5"/>
        <v>1866512</v>
      </c>
      <c r="O16" s="37">
        <f t="shared" si="5"/>
        <v>1866512</v>
      </c>
      <c r="P16" s="37">
        <f t="shared" si="5"/>
        <v>1869993.7</v>
      </c>
      <c r="Q16" s="37">
        <f t="shared" si="5"/>
        <v>1870000</v>
      </c>
      <c r="R16" s="37">
        <f t="shared" si="5"/>
        <v>1869200</v>
      </c>
      <c r="S16" s="37">
        <f t="shared" si="5"/>
        <v>1869200</v>
      </c>
      <c r="T16" s="37">
        <f t="shared" si="5"/>
        <v>1929500</v>
      </c>
      <c r="U16" s="37">
        <f t="shared" si="5"/>
        <v>1929500</v>
      </c>
      <c r="V16" s="37">
        <f t="shared" si="5"/>
        <v>1929500</v>
      </c>
      <c r="W16" s="277">
        <f t="shared" si="1"/>
        <v>39387153.700000003</v>
      </c>
      <c r="X16" s="189">
        <f>NPV('1сел'!$X$1,B16:V16)</f>
        <v>31878126.497961242</v>
      </c>
    </row>
    <row r="17" spans="1:26" s="146" customFormat="1" x14ac:dyDescent="0.25">
      <c r="A17" s="195" t="s">
        <v>318</v>
      </c>
      <c r="B17" s="196">
        <f t="shared" ref="B17:V17" si="6">B22-B16</f>
        <v>0</v>
      </c>
      <c r="C17" s="196">
        <f t="shared" si="6"/>
        <v>0</v>
      </c>
      <c r="D17" s="196">
        <f t="shared" si="6"/>
        <v>0</v>
      </c>
      <c r="E17" s="196">
        <f t="shared" si="6"/>
        <v>0</v>
      </c>
      <c r="F17" s="196">
        <f t="shared" si="6"/>
        <v>0</v>
      </c>
      <c r="G17" s="196">
        <f t="shared" si="6"/>
        <v>0</v>
      </c>
      <c r="H17" s="196">
        <f t="shared" si="6"/>
        <v>0</v>
      </c>
      <c r="I17" s="196">
        <f t="shared" si="6"/>
        <v>0</v>
      </c>
      <c r="J17" s="196">
        <f t="shared" si="6"/>
        <v>0</v>
      </c>
      <c r="K17" s="196">
        <f t="shared" si="6"/>
        <v>0</v>
      </c>
      <c r="L17" s="196">
        <f t="shared" si="6"/>
        <v>0</v>
      </c>
      <c r="M17" s="196">
        <f t="shared" si="6"/>
        <v>0</v>
      </c>
      <c r="N17" s="196">
        <f t="shared" si="6"/>
        <v>0</v>
      </c>
      <c r="O17" s="196">
        <f t="shared" si="6"/>
        <v>0</v>
      </c>
      <c r="P17" s="196">
        <f t="shared" si="6"/>
        <v>0</v>
      </c>
      <c r="Q17" s="196">
        <f t="shared" si="6"/>
        <v>0</v>
      </c>
      <c r="R17" s="196">
        <f t="shared" si="6"/>
        <v>0</v>
      </c>
      <c r="S17" s="196">
        <f t="shared" si="6"/>
        <v>0</v>
      </c>
      <c r="T17" s="196">
        <f t="shared" si="6"/>
        <v>0</v>
      </c>
      <c r="U17" s="196">
        <f t="shared" si="6"/>
        <v>0</v>
      </c>
      <c r="V17" s="196">
        <f t="shared" si="6"/>
        <v>0</v>
      </c>
      <c r="W17" s="197">
        <f t="shared" si="1"/>
        <v>0</v>
      </c>
      <c r="X17" s="189">
        <f>NPV('1сел'!$X$1,B17:V17)</f>
        <v>0</v>
      </c>
      <c r="Y17" s="198"/>
    </row>
    <row r="18" spans="1:26" x14ac:dyDescent="0.25">
      <c r="A18" s="48" t="s">
        <v>272</v>
      </c>
      <c r="B18" s="48">
        <f>B12-B7</f>
        <v>1865603</v>
      </c>
      <c r="C18" s="48">
        <f t="shared" ref="C18:V18" si="7">C12-C7</f>
        <v>1865603</v>
      </c>
      <c r="D18" s="48">
        <f t="shared" si="7"/>
        <v>1865603</v>
      </c>
      <c r="E18" s="48">
        <f t="shared" si="7"/>
        <v>1865603</v>
      </c>
      <c r="F18" s="195">
        <f t="shared" si="7"/>
        <v>1865603</v>
      </c>
      <c r="G18" s="48">
        <f t="shared" si="7"/>
        <v>1865603</v>
      </c>
      <c r="H18" s="48">
        <f t="shared" si="7"/>
        <v>1865603</v>
      </c>
      <c r="I18" s="195">
        <f t="shared" si="7"/>
        <v>1865603</v>
      </c>
      <c r="J18" s="48">
        <f t="shared" si="7"/>
        <v>1865603</v>
      </c>
      <c r="K18" s="48">
        <f t="shared" si="7"/>
        <v>1865603</v>
      </c>
      <c r="L18" s="48">
        <f t="shared" si="7"/>
        <v>1865603</v>
      </c>
      <c r="M18" s="48">
        <f t="shared" si="7"/>
        <v>1865603</v>
      </c>
      <c r="N18" s="195">
        <f t="shared" si="7"/>
        <v>1866512</v>
      </c>
      <c r="O18" s="48">
        <f t="shared" si="7"/>
        <v>1866512</v>
      </c>
      <c r="P18" s="48">
        <f t="shared" si="7"/>
        <v>1869993.7</v>
      </c>
      <c r="Q18" s="48">
        <f t="shared" si="7"/>
        <v>1870000</v>
      </c>
      <c r="R18" s="48">
        <f t="shared" si="7"/>
        <v>1869200</v>
      </c>
      <c r="S18" s="48">
        <f t="shared" si="7"/>
        <v>1869200</v>
      </c>
      <c r="T18" s="48">
        <f t="shared" si="7"/>
        <v>1929500</v>
      </c>
      <c r="U18" s="48">
        <f t="shared" si="7"/>
        <v>1929500</v>
      </c>
      <c r="V18" s="48">
        <f t="shared" si="7"/>
        <v>1929500</v>
      </c>
      <c r="W18" s="277">
        <f t="shared" si="1"/>
        <v>39387153.700000003</v>
      </c>
      <c r="X18" s="189">
        <f>NPV('1сел'!$X$1,B18:V18)</f>
        <v>31878126.497961242</v>
      </c>
    </row>
    <row r="19" spans="1:26" s="21" customFormat="1" ht="12.75" x14ac:dyDescent="0.2">
      <c r="A19" s="21" t="s">
        <v>85</v>
      </c>
      <c r="B19" s="248">
        <f>'1сел'!B13</f>
        <v>-4397</v>
      </c>
      <c r="C19" s="248">
        <f>'1сел'!C13</f>
        <v>-4397</v>
      </c>
      <c r="D19" s="248">
        <f>'1сел'!D13</f>
        <v>-4397</v>
      </c>
      <c r="E19" s="248">
        <f>'1сел'!E13</f>
        <v>-4397</v>
      </c>
      <c r="F19" s="259">
        <f>'1сел'!F13</f>
        <v>-4397</v>
      </c>
      <c r="G19" s="248">
        <f>'1сел'!G13</f>
        <v>-4397</v>
      </c>
      <c r="H19" s="248">
        <f>'1сел'!H13</f>
        <v>-4397</v>
      </c>
      <c r="I19" s="259">
        <f>'1сел'!I13</f>
        <v>-4397</v>
      </c>
      <c r="J19" s="248">
        <f>'1сел'!J13</f>
        <v>-4397</v>
      </c>
      <c r="K19" s="248">
        <f>'1сел'!K13</f>
        <v>-4397</v>
      </c>
      <c r="L19" s="248">
        <f>'1сел'!L13</f>
        <v>-4397</v>
      </c>
      <c r="M19" s="248">
        <f>'1сел'!M13</f>
        <v>-4397</v>
      </c>
      <c r="N19" s="259">
        <f>'1сел'!N13</f>
        <v>-3488</v>
      </c>
      <c r="O19" s="248">
        <f>'1сел'!O13</f>
        <v>-3488</v>
      </c>
      <c r="P19" s="249">
        <f>'1сел'!P13</f>
        <v>-6.3</v>
      </c>
      <c r="Q19" s="248">
        <f>'1сел'!Q13</f>
        <v>0</v>
      </c>
      <c r="R19" s="248">
        <f>'1сел'!R13</f>
        <v>0</v>
      </c>
      <c r="S19" s="248">
        <f>'1сел'!S13</f>
        <v>-2040</v>
      </c>
      <c r="T19" s="248">
        <f>'1сел'!T13</f>
        <v>8500</v>
      </c>
      <c r="U19" s="248">
        <f>'1сел'!U13</f>
        <v>8500</v>
      </c>
      <c r="V19" s="248">
        <f>'1сел'!V13</f>
        <v>8500</v>
      </c>
      <c r="W19" s="189">
        <f t="shared" si="1"/>
        <v>-36286.300000000003</v>
      </c>
      <c r="X19" s="189">
        <f>NPV('1сел'!$X$1,B19:V19)</f>
        <v>-36109.574767312348</v>
      </c>
      <c r="Y19" s="190">
        <f>W19/$W$22</f>
        <v>-9.2127246046723097E-4</v>
      </c>
    </row>
    <row r="20" spans="1:26" x14ac:dyDescent="0.25">
      <c r="A20" t="s">
        <v>86</v>
      </c>
      <c r="B20" s="48">
        <f>'3товар'!B7*1000</f>
        <v>1870000</v>
      </c>
      <c r="C20" s="48">
        <f>'3товар'!C7*1000</f>
        <v>1870000</v>
      </c>
      <c r="D20" s="48">
        <f>'3товар'!D7*1000</f>
        <v>1870000</v>
      </c>
      <c r="E20" s="48">
        <f>'3товар'!E7*1000</f>
        <v>1870000</v>
      </c>
      <c r="F20" s="195">
        <f>'3товар'!F7*1000</f>
        <v>1870000</v>
      </c>
      <c r="G20" s="48">
        <f>'3товар'!G7*1000</f>
        <v>1870000</v>
      </c>
      <c r="H20" s="48">
        <f>'3товар'!H7*1000</f>
        <v>1870000</v>
      </c>
      <c r="I20" s="195">
        <f>'3товар'!I7*1000</f>
        <v>1870000</v>
      </c>
      <c r="J20" s="48">
        <f>'3товар'!J7*1000</f>
        <v>1870000</v>
      </c>
      <c r="K20" s="48">
        <f>'3товар'!K7*1000</f>
        <v>1870000</v>
      </c>
      <c r="L20" s="48">
        <f>'3товар'!L7*1000</f>
        <v>1870000</v>
      </c>
      <c r="M20" s="48">
        <f>'3товар'!M7*1000</f>
        <v>1870000</v>
      </c>
      <c r="N20" s="48">
        <f>'3товар'!N7*1000</f>
        <v>1870000</v>
      </c>
      <c r="O20" s="48">
        <f>'3товар'!O7*1000</f>
        <v>1870000</v>
      </c>
      <c r="P20" s="48">
        <f>'3товар'!P7*1000</f>
        <v>1870000</v>
      </c>
      <c r="Q20" s="48">
        <f>'3товар'!Q7*1000</f>
        <v>1870000</v>
      </c>
      <c r="R20" s="48">
        <f>'3товар'!R7*1000</f>
        <v>1870000</v>
      </c>
      <c r="S20" s="48">
        <f>'3товар'!S7*1000</f>
        <v>1870000</v>
      </c>
      <c r="T20" s="48">
        <f>'3товар'!T7*1000</f>
        <v>1921000</v>
      </c>
      <c r="U20" s="48">
        <f>'3товар'!U7*1000</f>
        <v>1921000</v>
      </c>
      <c r="V20" s="48">
        <f>'3товар'!V7*1000</f>
        <v>1921000</v>
      </c>
      <c r="W20" s="189">
        <f t="shared" si="1"/>
        <v>39423000</v>
      </c>
      <c r="X20" s="189">
        <f>NPV('1сел'!$X$1,B20:V20)</f>
        <v>31913939.205153566</v>
      </c>
      <c r="Y20" s="190">
        <f>W20/$W$22</f>
        <v>1.0009101013054416</v>
      </c>
    </row>
    <row r="21" spans="1:26" x14ac:dyDescent="0.25">
      <c r="A21" t="s">
        <v>87</v>
      </c>
      <c r="B21" s="215">
        <f>'2сем'!B13</f>
        <v>0</v>
      </c>
      <c r="C21" s="215">
        <f>'2сем'!C13</f>
        <v>0</v>
      </c>
      <c r="D21" s="215">
        <f>'2сем'!D13</f>
        <v>0</v>
      </c>
      <c r="E21" s="215">
        <f>'2сем'!E13</f>
        <v>0</v>
      </c>
      <c r="F21" s="215">
        <f>'2сем'!F13</f>
        <v>0</v>
      </c>
      <c r="G21" s="215">
        <f>'2сем'!G13</f>
        <v>0</v>
      </c>
      <c r="H21" s="215">
        <f>'2сем'!H13</f>
        <v>0</v>
      </c>
      <c r="I21" s="215">
        <f>'2сем'!I13</f>
        <v>0</v>
      </c>
      <c r="J21" s="215">
        <f>'2сем'!J13</f>
        <v>0</v>
      </c>
      <c r="K21" s="215">
        <f>'2сем'!K13</f>
        <v>0</v>
      </c>
      <c r="L21" s="215">
        <f>'2сем'!L13</f>
        <v>0</v>
      </c>
      <c r="M21" s="215">
        <f>'2сем'!M13</f>
        <v>0</v>
      </c>
      <c r="N21" s="254">
        <f>'2сем'!N13</f>
        <v>0</v>
      </c>
      <c r="O21" s="215">
        <f>'2сем'!O13</f>
        <v>0</v>
      </c>
      <c r="P21" s="215">
        <f>'2сем'!P13</f>
        <v>0</v>
      </c>
      <c r="Q21" s="215">
        <f>'2сем'!Q13</f>
        <v>0</v>
      </c>
      <c r="R21" s="215">
        <f>'2сем'!R13</f>
        <v>-800.00000000000011</v>
      </c>
      <c r="S21" s="215">
        <f>'2сем'!S13</f>
        <v>1240</v>
      </c>
      <c r="T21" s="215">
        <f>'2сем'!T13</f>
        <v>0</v>
      </c>
      <c r="U21" s="215">
        <f>'2сем'!U13</f>
        <v>0</v>
      </c>
      <c r="V21" s="215">
        <f>'2сем'!V13</f>
        <v>0</v>
      </c>
      <c r="W21" s="189">
        <f t="shared" si="1"/>
        <v>439.99999999999989</v>
      </c>
      <c r="X21" s="189">
        <f>NPV('1сел'!$X$1,B21:V21)</f>
        <v>296.86757498542408</v>
      </c>
      <c r="Y21" s="190">
        <f>W21/$W$22</f>
        <v>1.1171155025604194E-5</v>
      </c>
    </row>
    <row r="22" spans="1:26" s="192" customFormat="1" ht="12.75" x14ac:dyDescent="0.2">
      <c r="A22" s="192" t="s">
        <v>88</v>
      </c>
      <c r="B22" s="250">
        <f t="shared" ref="B22:V22" si="8">SUM(B19:B21)</f>
        <v>1865603</v>
      </c>
      <c r="C22" s="250">
        <f t="shared" si="8"/>
        <v>1865603</v>
      </c>
      <c r="D22" s="250">
        <f t="shared" si="8"/>
        <v>1865603</v>
      </c>
      <c r="E22" s="250">
        <f t="shared" si="8"/>
        <v>1865603</v>
      </c>
      <c r="F22" s="260">
        <f t="shared" si="8"/>
        <v>1865603</v>
      </c>
      <c r="G22" s="250">
        <f t="shared" si="8"/>
        <v>1865603</v>
      </c>
      <c r="H22" s="250">
        <f t="shared" si="8"/>
        <v>1865603</v>
      </c>
      <c r="I22" s="260">
        <f t="shared" si="8"/>
        <v>1865603</v>
      </c>
      <c r="J22" s="250">
        <f t="shared" si="8"/>
        <v>1865603</v>
      </c>
      <c r="K22" s="250">
        <f t="shared" si="8"/>
        <v>1865603</v>
      </c>
      <c r="L22" s="250">
        <f t="shared" si="8"/>
        <v>1865603</v>
      </c>
      <c r="M22" s="250">
        <f t="shared" si="8"/>
        <v>1865603</v>
      </c>
      <c r="N22" s="260">
        <f t="shared" si="8"/>
        <v>1866512</v>
      </c>
      <c r="O22" s="250">
        <f t="shared" si="8"/>
        <v>1866512</v>
      </c>
      <c r="P22" s="250">
        <f t="shared" si="8"/>
        <v>1869993.7</v>
      </c>
      <c r="Q22" s="250">
        <f t="shared" si="8"/>
        <v>1870000</v>
      </c>
      <c r="R22" s="250">
        <f t="shared" si="8"/>
        <v>1869200</v>
      </c>
      <c r="S22" s="250">
        <f t="shared" si="8"/>
        <v>1869200</v>
      </c>
      <c r="T22" s="250">
        <f t="shared" si="8"/>
        <v>1929500</v>
      </c>
      <c r="U22" s="250">
        <f t="shared" si="8"/>
        <v>1929500</v>
      </c>
      <c r="V22" s="250">
        <f t="shared" si="8"/>
        <v>1929500</v>
      </c>
      <c r="W22" s="277">
        <f t="shared" si="1"/>
        <v>39387153.700000003</v>
      </c>
      <c r="X22" s="189">
        <f>NPV('1сел'!$X$1,B22:V22)</f>
        <v>31878126.497961242</v>
      </c>
      <c r="Y22" s="190">
        <f>W22/$W$22</f>
        <v>1</v>
      </c>
    </row>
    <row r="23" spans="1:26" s="192" customFormat="1" ht="12.75" x14ac:dyDescent="0.2">
      <c r="A23" s="48" t="s">
        <v>335</v>
      </c>
      <c r="B23" s="250"/>
      <c r="C23" s="250"/>
      <c r="D23" s="250"/>
      <c r="E23" s="250"/>
      <c r="F23" s="260"/>
      <c r="G23" s="250"/>
      <c r="H23" s="250"/>
      <c r="I23" s="260"/>
      <c r="J23" s="250"/>
      <c r="K23" s="250"/>
      <c r="L23" s="250"/>
      <c r="M23" s="250"/>
      <c r="N23" s="260"/>
      <c r="O23" s="250"/>
      <c r="P23" s="250"/>
      <c r="Q23" s="250"/>
      <c r="R23" s="250"/>
      <c r="S23" s="250"/>
      <c r="T23" s="250"/>
      <c r="U23" s="250"/>
      <c r="V23" s="250"/>
      <c r="W23" s="189"/>
      <c r="X23" s="189"/>
      <c r="Y23" s="190"/>
    </row>
    <row r="24" spans="1:26" s="192" customFormat="1" ht="12.75" x14ac:dyDescent="0.2">
      <c r="A24" s="192" t="s">
        <v>320</v>
      </c>
      <c r="B24" s="250">
        <f>B19</f>
        <v>-4397</v>
      </c>
      <c r="C24" s="250">
        <f>B24+C19</f>
        <v>-8794</v>
      </c>
      <c r="D24" s="250">
        <f t="shared" ref="D24:V26" si="9">C24+D19</f>
        <v>-13191</v>
      </c>
      <c r="E24" s="250">
        <f t="shared" si="9"/>
        <v>-17588</v>
      </c>
      <c r="F24" s="250">
        <f t="shared" si="9"/>
        <v>-21985</v>
      </c>
      <c r="G24" s="250">
        <f t="shared" si="9"/>
        <v>-26382</v>
      </c>
      <c r="H24" s="250">
        <f t="shared" si="9"/>
        <v>-30779</v>
      </c>
      <c r="I24" s="250">
        <f t="shared" si="9"/>
        <v>-35176</v>
      </c>
      <c r="J24" s="250">
        <f t="shared" si="9"/>
        <v>-39573</v>
      </c>
      <c r="K24" s="250">
        <f t="shared" si="9"/>
        <v>-43970</v>
      </c>
      <c r="L24" s="250">
        <f t="shared" si="9"/>
        <v>-48367</v>
      </c>
      <c r="M24" s="250">
        <f t="shared" si="9"/>
        <v>-52764</v>
      </c>
      <c r="N24" s="250">
        <f t="shared" si="9"/>
        <v>-56252</v>
      </c>
      <c r="O24" s="250">
        <f t="shared" si="9"/>
        <v>-59740</v>
      </c>
      <c r="P24" s="250">
        <f t="shared" si="9"/>
        <v>-59746.3</v>
      </c>
      <c r="Q24" s="250">
        <f t="shared" si="9"/>
        <v>-59746.3</v>
      </c>
      <c r="R24" s="250">
        <f t="shared" si="9"/>
        <v>-59746.3</v>
      </c>
      <c r="S24" s="250">
        <f t="shared" si="9"/>
        <v>-61786.3</v>
      </c>
      <c r="T24" s="250">
        <f t="shared" si="9"/>
        <v>-53286.3</v>
      </c>
      <c r="U24" s="250">
        <f t="shared" si="9"/>
        <v>-44786.3</v>
      </c>
      <c r="V24" s="250">
        <f t="shared" si="9"/>
        <v>-36286.300000000003</v>
      </c>
      <c r="W24" s="189" t="s">
        <v>338</v>
      </c>
      <c r="X24" s="189"/>
      <c r="Y24" s="190"/>
      <c r="Z24" s="189">
        <f>MIN(B24:V24)</f>
        <v>-61786.3</v>
      </c>
    </row>
    <row r="25" spans="1:26" s="192" customFormat="1" ht="12.75" x14ac:dyDescent="0.2">
      <c r="A25" s="192" t="s">
        <v>336</v>
      </c>
      <c r="B25" s="250">
        <f>B20</f>
        <v>1870000</v>
      </c>
      <c r="C25" s="250">
        <f t="shared" ref="C25:R26" si="10">B25+C20</f>
        <v>3740000</v>
      </c>
      <c r="D25" s="250">
        <f t="shared" si="10"/>
        <v>5610000</v>
      </c>
      <c r="E25" s="250">
        <f t="shared" si="10"/>
        <v>7480000</v>
      </c>
      <c r="F25" s="250">
        <f t="shared" si="10"/>
        <v>9350000</v>
      </c>
      <c r="G25" s="250">
        <f t="shared" si="10"/>
        <v>11220000</v>
      </c>
      <c r="H25" s="250">
        <f t="shared" si="10"/>
        <v>13090000</v>
      </c>
      <c r="I25" s="250">
        <f t="shared" si="10"/>
        <v>14960000</v>
      </c>
      <c r="J25" s="250">
        <f t="shared" si="10"/>
        <v>16830000</v>
      </c>
      <c r="K25" s="250">
        <f t="shared" si="10"/>
        <v>18700000</v>
      </c>
      <c r="L25" s="250">
        <f t="shared" si="10"/>
        <v>20570000</v>
      </c>
      <c r="M25" s="250">
        <f t="shared" si="10"/>
        <v>22440000</v>
      </c>
      <c r="N25" s="250">
        <f t="shared" si="10"/>
        <v>24310000</v>
      </c>
      <c r="O25" s="250">
        <f t="shared" si="10"/>
        <v>26180000</v>
      </c>
      <c r="P25" s="250">
        <f t="shared" si="10"/>
        <v>28050000</v>
      </c>
      <c r="Q25" s="250">
        <f t="shared" si="10"/>
        <v>29920000</v>
      </c>
      <c r="R25" s="250">
        <f t="shared" si="10"/>
        <v>31790000</v>
      </c>
      <c r="S25" s="250">
        <f t="shared" si="9"/>
        <v>33660000</v>
      </c>
      <c r="T25" s="250">
        <f t="shared" si="9"/>
        <v>35581000</v>
      </c>
      <c r="U25" s="250">
        <f t="shared" si="9"/>
        <v>37502000</v>
      </c>
      <c r="V25" s="250">
        <f t="shared" si="9"/>
        <v>39423000</v>
      </c>
      <c r="W25" s="189"/>
      <c r="X25" s="189"/>
      <c r="Y25" s="190"/>
      <c r="Z25" s="189">
        <f>MIN(B25:V25)</f>
        <v>1870000</v>
      </c>
    </row>
    <row r="26" spans="1:26" s="192" customFormat="1" ht="12.75" x14ac:dyDescent="0.2">
      <c r="A26" s="192" t="s">
        <v>322</v>
      </c>
      <c r="B26" s="250">
        <f>B21</f>
        <v>0</v>
      </c>
      <c r="C26" s="250">
        <f t="shared" si="10"/>
        <v>0</v>
      </c>
      <c r="D26" s="250">
        <f t="shared" si="9"/>
        <v>0</v>
      </c>
      <c r="E26" s="250">
        <f t="shared" si="9"/>
        <v>0</v>
      </c>
      <c r="F26" s="250">
        <f t="shared" si="9"/>
        <v>0</v>
      </c>
      <c r="G26" s="250">
        <f t="shared" si="9"/>
        <v>0</v>
      </c>
      <c r="H26" s="250">
        <f t="shared" si="9"/>
        <v>0</v>
      </c>
      <c r="I26" s="250">
        <f t="shared" si="9"/>
        <v>0</v>
      </c>
      <c r="J26" s="250">
        <f t="shared" si="9"/>
        <v>0</v>
      </c>
      <c r="K26" s="250">
        <f t="shared" si="9"/>
        <v>0</v>
      </c>
      <c r="L26" s="250">
        <f t="shared" si="9"/>
        <v>0</v>
      </c>
      <c r="M26" s="250">
        <f t="shared" si="9"/>
        <v>0</v>
      </c>
      <c r="N26" s="250">
        <f t="shared" si="9"/>
        <v>0</v>
      </c>
      <c r="O26" s="250">
        <f t="shared" si="9"/>
        <v>0</v>
      </c>
      <c r="P26" s="250">
        <f t="shared" si="9"/>
        <v>0</v>
      </c>
      <c r="Q26" s="250">
        <f t="shared" si="9"/>
        <v>0</v>
      </c>
      <c r="R26" s="250">
        <f t="shared" si="9"/>
        <v>-800.00000000000011</v>
      </c>
      <c r="S26" s="250">
        <f t="shared" si="9"/>
        <v>439.99999999999989</v>
      </c>
      <c r="T26" s="250">
        <f t="shared" si="9"/>
        <v>439.99999999999989</v>
      </c>
      <c r="U26" s="250">
        <f t="shared" si="9"/>
        <v>439.99999999999989</v>
      </c>
      <c r="V26" s="250">
        <f t="shared" si="9"/>
        <v>439.99999999999989</v>
      </c>
      <c r="W26" s="189"/>
      <c r="X26" s="189"/>
      <c r="Y26" s="190"/>
      <c r="Z26" s="189">
        <f>MIN(B26:V26)</f>
        <v>-800.00000000000011</v>
      </c>
    </row>
    <row r="27" spans="1:26" s="192" customFormat="1" ht="12.75" x14ac:dyDescent="0.2">
      <c r="A27" s="192" t="s">
        <v>337</v>
      </c>
      <c r="B27" s="250">
        <f>SUM(B24:B26)</f>
        <v>1865603</v>
      </c>
      <c r="C27" s="250">
        <f>B27+SUM(C19:C21)</f>
        <v>3731206</v>
      </c>
      <c r="D27" s="250">
        <f t="shared" ref="D27:S27" si="11">C27+SUM(D19:D21)</f>
        <v>5596809</v>
      </c>
      <c r="E27" s="250">
        <f t="shared" si="11"/>
        <v>7462412</v>
      </c>
      <c r="F27" s="250">
        <f t="shared" si="11"/>
        <v>9328015</v>
      </c>
      <c r="G27" s="250">
        <f t="shared" si="11"/>
        <v>11193618</v>
      </c>
      <c r="H27" s="250">
        <f t="shared" si="11"/>
        <v>13059221</v>
      </c>
      <c r="I27" s="250">
        <f t="shared" si="11"/>
        <v>14924824</v>
      </c>
      <c r="J27" s="250">
        <f t="shared" si="11"/>
        <v>16790427</v>
      </c>
      <c r="K27" s="250">
        <f t="shared" si="11"/>
        <v>18656030</v>
      </c>
      <c r="L27" s="250">
        <f t="shared" si="11"/>
        <v>20521633</v>
      </c>
      <c r="M27" s="250">
        <f t="shared" si="11"/>
        <v>22387236</v>
      </c>
      <c r="N27" s="250">
        <f t="shared" si="11"/>
        <v>24253748</v>
      </c>
      <c r="O27" s="250">
        <f t="shared" si="11"/>
        <v>26120260</v>
      </c>
      <c r="P27" s="250">
        <f t="shared" si="11"/>
        <v>27990253.699999999</v>
      </c>
      <c r="Q27" s="250">
        <f t="shared" si="11"/>
        <v>29860253.699999999</v>
      </c>
      <c r="R27" s="250">
        <f t="shared" si="11"/>
        <v>31729453.699999999</v>
      </c>
      <c r="S27" s="250">
        <f t="shared" si="11"/>
        <v>33598653.700000003</v>
      </c>
      <c r="T27" s="250">
        <f>S27+SUM(T19:T21)</f>
        <v>35528153.700000003</v>
      </c>
      <c r="U27" s="250">
        <f>T27+SUM(U19:U21)</f>
        <v>37457653.700000003</v>
      </c>
      <c r="V27" s="250">
        <f>U27+SUM(V19:V21)</f>
        <v>39387153.700000003</v>
      </c>
      <c r="W27" s="189"/>
      <c r="X27" s="189"/>
      <c r="Y27" s="190"/>
      <c r="Z27" s="189">
        <f>MIN(B27:V27)</f>
        <v>1865603</v>
      </c>
    </row>
    <row r="28" spans="1:26" s="192" customFormat="1" ht="12.75" x14ac:dyDescent="0.2">
      <c r="A28" s="192" t="s">
        <v>340</v>
      </c>
      <c r="B28" s="250"/>
      <c r="C28" s="250"/>
      <c r="D28" s="250"/>
      <c r="E28" s="250"/>
      <c r="F28" s="260"/>
      <c r="G28" s="250"/>
      <c r="H28" s="250"/>
      <c r="I28" s="260"/>
      <c r="J28" s="250"/>
      <c r="K28" s="250"/>
      <c r="L28" s="250"/>
      <c r="M28" s="250"/>
      <c r="N28" s="260"/>
      <c r="O28" s="250"/>
      <c r="P28" s="250"/>
      <c r="Q28" s="250"/>
      <c r="R28" s="250"/>
      <c r="S28" s="250"/>
      <c r="T28" s="250"/>
      <c r="U28" s="250"/>
      <c r="V28" s="250"/>
      <c r="W28" s="189"/>
      <c r="X28" s="189"/>
      <c r="Y28" s="190"/>
    </row>
    <row r="29" spans="1:26" s="192" customFormat="1" ht="12.75" x14ac:dyDescent="0.2">
      <c r="B29" s="250"/>
      <c r="C29" s="250"/>
      <c r="D29" s="250"/>
      <c r="E29" s="250"/>
      <c r="F29" s="260"/>
      <c r="G29" s="250"/>
      <c r="H29" s="250"/>
      <c r="I29" s="260"/>
      <c r="J29" s="250"/>
      <c r="K29" s="250"/>
      <c r="L29" s="250"/>
      <c r="M29" s="250"/>
      <c r="N29" s="260"/>
      <c r="O29" s="250"/>
      <c r="P29" s="250"/>
      <c r="Q29" s="250"/>
      <c r="R29" s="250"/>
      <c r="S29" s="250"/>
      <c r="T29" s="250"/>
      <c r="U29" s="250"/>
      <c r="V29" s="250"/>
      <c r="W29" s="189"/>
      <c r="X29" s="189"/>
      <c r="Y29" s="190"/>
    </row>
    <row r="30" spans="1:26" s="192" customFormat="1" ht="12.75" x14ac:dyDescent="0.2">
      <c r="B30" s="250"/>
      <c r="C30" s="250"/>
      <c r="D30" s="250"/>
      <c r="E30" s="250"/>
      <c r="F30" s="260"/>
      <c r="G30" s="250"/>
      <c r="H30" s="250"/>
      <c r="I30" s="260"/>
      <c r="J30" s="250"/>
      <c r="K30" s="250"/>
      <c r="L30" s="250"/>
      <c r="M30" s="250"/>
      <c r="N30" s="260"/>
      <c r="O30" s="250"/>
      <c r="P30" s="250"/>
      <c r="Q30" s="250"/>
      <c r="R30" s="250"/>
      <c r="S30" s="250"/>
      <c r="T30" s="250"/>
      <c r="U30" s="250"/>
      <c r="V30" s="250"/>
      <c r="W30" s="189"/>
      <c r="X30" s="189"/>
      <c r="Y30" s="190"/>
    </row>
    <row r="31" spans="1:26" ht="18.75" x14ac:dyDescent="0.3">
      <c r="A31" s="262" t="s">
        <v>339</v>
      </c>
      <c r="B31" s="262"/>
      <c r="C31" s="262"/>
      <c r="W31" s="189"/>
      <c r="X31" s="189"/>
    </row>
    <row r="32" spans="1:26" x14ac:dyDescent="0.25">
      <c r="A32" s="244" t="s">
        <v>259</v>
      </c>
      <c r="B32" s="261">
        <f>'1сел'!B22+'1сел'!B23+'1сел'!B24+'1сел'!B25+'1сел'!B26+'1сел'!B29</f>
        <v>12000</v>
      </c>
      <c r="C32" s="261">
        <f>'1сел'!C22+'1сел'!C23+'1сел'!C24+'1сел'!C25+'1сел'!C26+'1сел'!C29</f>
        <v>3072</v>
      </c>
      <c r="D32" s="261">
        <f>'1сел'!D22+'1сел'!D23+'1сел'!D24+'1сел'!D25+'1сел'!D26+'1сел'!D29</f>
        <v>4397</v>
      </c>
      <c r="E32" s="261">
        <f>'1сел'!E22+'1сел'!E23+'1сел'!E24+'1сел'!E25+'1сел'!E26+'1сел'!E29</f>
        <v>4397</v>
      </c>
      <c r="F32" s="261">
        <f>'1сел'!F22+'1сел'!F23+'1сел'!F24+'1сел'!F25+'1сел'!F26+'1сел'!F29</f>
        <v>56</v>
      </c>
      <c r="G32" s="261">
        <f>'1сел'!G22+'1сел'!G23+'1сел'!G24+'1сел'!G25+'1сел'!G26+'1сел'!G29</f>
        <v>6.3</v>
      </c>
      <c r="H32" s="261">
        <f>'1сел'!H22+'1сел'!H23+'1сел'!H24+'1сел'!H25+'1сел'!H26+'1сел'!H29</f>
        <v>0</v>
      </c>
      <c r="I32" s="261">
        <f>'1сел'!I22+'1сел'!I23+'1сел'!I24+'1сел'!I25+'1сел'!I26+'1сел'!I29</f>
        <v>0</v>
      </c>
      <c r="J32" s="261">
        <f>'1сел'!J22+'1сел'!J23+'1сел'!J24+'1сел'!J25+'1сел'!J26+'1сел'!J29</f>
        <v>2040</v>
      </c>
      <c r="K32" s="261">
        <f>'1сел'!K22+'1сел'!K23+'1сел'!K24+'1сел'!K25+'1сел'!K26+'1сел'!K29</f>
        <v>0</v>
      </c>
      <c r="L32" s="261">
        <f>'1сел'!L22+'1сел'!L23+'1сел'!L24+'1сел'!L25+'1сел'!L26+'1сел'!L29</f>
        <v>0</v>
      </c>
      <c r="M32" s="261">
        <f>'1сел'!M22+'1сел'!M23+'1сел'!M24+'1сел'!M25+'1сел'!M26+'1сел'!M29</f>
        <v>2040</v>
      </c>
      <c r="N32" s="261">
        <f>'1сел'!N22+'1сел'!N23+'1сел'!N24+'1сел'!N25+'1сел'!N26+'1сел'!N29</f>
        <v>0</v>
      </c>
      <c r="O32" s="261">
        <f>'1сел'!O22+'1сел'!O23+'1сел'!O24+'1сел'!O25+'1сел'!O26+'1сел'!O29</f>
        <v>0</v>
      </c>
      <c r="P32" s="261">
        <f>'1сел'!P22+'1сел'!P23+'1сел'!P24+'1сел'!P25+'1сел'!P26+'1сел'!P29</f>
        <v>2040</v>
      </c>
      <c r="Q32" s="261">
        <f>'1сел'!Q22+'1сел'!Q23+'1сел'!Q24+'1сел'!Q25+'1сел'!Q26+'1сел'!Q29</f>
        <v>0</v>
      </c>
      <c r="R32" s="261">
        <f>'1сел'!R22+'1сел'!R23+'1сел'!R24+'1сел'!R25+'1сел'!R26+'1сел'!R29</f>
        <v>0</v>
      </c>
      <c r="S32" s="261">
        <f>'1сел'!S22+'1сел'!S23+'1сел'!S24+'1сел'!S25+'1сел'!S26+'1сел'!S29</f>
        <v>2040</v>
      </c>
      <c r="T32" s="261">
        <f>'1сел'!T22+'1сел'!T23+'1сел'!T24+'1сел'!T25+'1сел'!T26+'1сел'!T29</f>
        <v>0</v>
      </c>
      <c r="U32" s="261">
        <f>'1сел'!U22+'1сел'!U23+'1сел'!U24+'1сел'!U25+'1сел'!U26+'1сел'!U29</f>
        <v>0</v>
      </c>
      <c r="V32" s="261">
        <f>'1сел'!V22+'1сел'!V23+'1сел'!V24+'1сел'!V25+'1сел'!V26+'1сел'!V29</f>
        <v>0</v>
      </c>
      <c r="W32" s="189">
        <f t="shared" ref="W32:W46" si="12">SUM(B32:V32)</f>
        <v>32088.3</v>
      </c>
      <c r="X32" s="189">
        <f>NPV('1сел'!$X$1,B32:V32)</f>
        <v>29238.853161289477</v>
      </c>
    </row>
    <row r="33" spans="1:25" x14ac:dyDescent="0.25">
      <c r="A33" s="244" t="s">
        <v>261</v>
      </c>
      <c r="B33" s="58">
        <f>('3товар'!B15+'3товар'!B16*$J$1)*1000</f>
        <v>935000</v>
      </c>
      <c r="C33" s="58">
        <f>('3товар'!C15+'3товар'!C16*$J$1)*1000</f>
        <v>935000</v>
      </c>
      <c r="D33" s="58">
        <f>('3товар'!D15+'3товар'!D16*$J$1)*1000</f>
        <v>935000</v>
      </c>
      <c r="E33" s="58">
        <f>('3товар'!E15+'3товар'!E16*$J$1)*1000</f>
        <v>935000</v>
      </c>
      <c r="F33" s="58">
        <f>('3товар'!F15+'3товар'!F16*$J$1)*1000</f>
        <v>935000</v>
      </c>
      <c r="G33" s="58">
        <f>('3товар'!G15+'3товар'!G16*$J$1)*1000</f>
        <v>935000</v>
      </c>
      <c r="H33" s="58">
        <f>('3товар'!H15+'3товар'!H16*$J$1)*1000</f>
        <v>935000</v>
      </c>
      <c r="I33" s="58">
        <f>('3товар'!I15+'3товар'!I16*$J$1)*1000</f>
        <v>935000</v>
      </c>
      <c r="J33" s="58">
        <f>('3товар'!J15+'3товар'!J16*$J$1)*1000</f>
        <v>935000</v>
      </c>
      <c r="K33" s="58">
        <f>('3товар'!K15+'3товар'!K16*$J$1)*1000</f>
        <v>884000</v>
      </c>
      <c r="L33" s="58">
        <f>('3товар'!L15+'3товар'!L16*$J$1)*1000</f>
        <v>884000</v>
      </c>
      <c r="M33" s="58">
        <f>('3товар'!M15+'3товар'!M16*$J$1)*1000</f>
        <v>884000</v>
      </c>
      <c r="N33" s="58">
        <f>('3товар'!N15+'3товар'!N16*$J$1)*1000</f>
        <v>884000</v>
      </c>
      <c r="O33" s="58">
        <f>('3товар'!O15+'3товар'!O16*$J$1)*1000</f>
        <v>884000</v>
      </c>
      <c r="P33" s="58">
        <f>('3товар'!P15+'3товар'!P16*$J$1)*1000</f>
        <v>884000</v>
      </c>
      <c r="Q33" s="58">
        <f>('3товар'!Q15+'3товар'!Q16*$J$1)*1000</f>
        <v>884000</v>
      </c>
      <c r="R33" s="58">
        <f>('3товар'!R15+'3товар'!R16*$J$1)*1000</f>
        <v>884000</v>
      </c>
      <c r="S33" s="58">
        <f>('3товар'!S15+'3товар'!S16*$J$1)*1000</f>
        <v>884000</v>
      </c>
      <c r="T33" s="58">
        <f>('3товар'!T15+'3товар'!T16*$J$1)*1000</f>
        <v>884000</v>
      </c>
      <c r="U33" s="58">
        <f>('3товар'!U15+'3товар'!U16*$J$1)*1000</f>
        <v>884000</v>
      </c>
      <c r="V33" s="58">
        <f>('3товар'!V15+'3товар'!V16*$J$1)*1000</f>
        <v>884000</v>
      </c>
      <c r="W33" s="189">
        <f t="shared" si="12"/>
        <v>19023000</v>
      </c>
      <c r="X33" s="189">
        <f>NPV('1сел'!$X$1,B33:V33)</f>
        <v>15454182.970675552</v>
      </c>
    </row>
    <row r="34" spans="1:25" s="147" customFormat="1" x14ac:dyDescent="0.25">
      <c r="A34" s="268" t="s">
        <v>260</v>
      </c>
      <c r="B34" s="269">
        <f>'2сем'!B29</f>
        <v>0</v>
      </c>
      <c r="C34" s="269">
        <f>'2сем'!C29</f>
        <v>0</v>
      </c>
      <c r="D34" s="269">
        <f>'2сем'!D29</f>
        <v>0</v>
      </c>
      <c r="E34" s="269">
        <f>'2сем'!E29</f>
        <v>0</v>
      </c>
      <c r="F34" s="269">
        <f>'2сем'!F29</f>
        <v>0</v>
      </c>
      <c r="G34" s="269">
        <f>'2сем'!G29</f>
        <v>0</v>
      </c>
      <c r="H34" s="269">
        <f>'2сем'!H29</f>
        <v>0</v>
      </c>
      <c r="I34" s="269">
        <f>'2сем'!I29</f>
        <v>800.00000000000011</v>
      </c>
      <c r="J34" s="269">
        <f>'2сем'!J29</f>
        <v>800.00000000000011</v>
      </c>
      <c r="K34" s="269">
        <f>'2сем'!K29</f>
        <v>0</v>
      </c>
      <c r="L34" s="269">
        <f>'2сем'!L29</f>
        <v>800.00000000000011</v>
      </c>
      <c r="M34" s="269">
        <f>'2сем'!M29</f>
        <v>800.00000000000011</v>
      </c>
      <c r="N34" s="269">
        <f>'2сем'!N29</f>
        <v>0</v>
      </c>
      <c r="O34" s="269">
        <f>'2сем'!O29</f>
        <v>800.00000000000011</v>
      </c>
      <c r="P34" s="269">
        <f>'2сем'!P29</f>
        <v>800.00000000000011</v>
      </c>
      <c r="Q34" s="269">
        <f>'2сем'!Q29</f>
        <v>0</v>
      </c>
      <c r="R34" s="269">
        <f>'2сем'!R29</f>
        <v>800.00000000000011</v>
      </c>
      <c r="S34" s="269">
        <f>'2сем'!S29</f>
        <v>800.00000000000011</v>
      </c>
      <c r="T34" s="269">
        <f>'2сем'!T29</f>
        <v>0</v>
      </c>
      <c r="U34" s="269">
        <f>'2сем'!U29</f>
        <v>0</v>
      </c>
      <c r="V34" s="269">
        <f>'2сем'!V29</f>
        <v>0</v>
      </c>
      <c r="W34" s="270">
        <f t="shared" si="12"/>
        <v>6400.0000000000009</v>
      </c>
      <c r="X34" s="270">
        <f>NPV('1сел'!$X$1,B34:V34)</f>
        <v>4958.5708349960669</v>
      </c>
      <c r="Y34" s="145"/>
    </row>
    <row r="35" spans="1:25" x14ac:dyDescent="0.25">
      <c r="A35" s="40" t="s">
        <v>263</v>
      </c>
      <c r="B35" s="40">
        <f>SUM(B32:B34)</f>
        <v>947000</v>
      </c>
      <c r="C35" s="40">
        <f t="shared" ref="C35:V35" si="13">SUM(C32:C34)</f>
        <v>938072</v>
      </c>
      <c r="D35" s="40">
        <f t="shared" si="13"/>
        <v>939397</v>
      </c>
      <c r="E35" s="40">
        <f t="shared" si="13"/>
        <v>939397</v>
      </c>
      <c r="F35" s="40">
        <f t="shared" si="13"/>
        <v>935056</v>
      </c>
      <c r="G35" s="40">
        <f t="shared" si="13"/>
        <v>935006.3</v>
      </c>
      <c r="H35" s="40">
        <f t="shared" si="13"/>
        <v>935000</v>
      </c>
      <c r="I35" s="40">
        <f t="shared" si="13"/>
        <v>935800</v>
      </c>
      <c r="J35" s="40">
        <f t="shared" si="13"/>
        <v>937840</v>
      </c>
      <c r="K35" s="40">
        <f t="shared" si="13"/>
        <v>884000</v>
      </c>
      <c r="L35" s="40">
        <f t="shared" si="13"/>
        <v>884800</v>
      </c>
      <c r="M35" s="40">
        <f t="shared" si="13"/>
        <v>886840</v>
      </c>
      <c r="N35" s="40">
        <f t="shared" si="13"/>
        <v>884000</v>
      </c>
      <c r="O35" s="40">
        <f t="shared" si="13"/>
        <v>884800</v>
      </c>
      <c r="P35" s="40">
        <f t="shared" si="13"/>
        <v>886840</v>
      </c>
      <c r="Q35" s="40">
        <f t="shared" si="13"/>
        <v>884000</v>
      </c>
      <c r="R35" s="40">
        <f t="shared" si="13"/>
        <v>884800</v>
      </c>
      <c r="S35" s="40">
        <f t="shared" si="13"/>
        <v>886840</v>
      </c>
      <c r="T35" s="40">
        <f t="shared" si="13"/>
        <v>884000</v>
      </c>
      <c r="U35" s="40">
        <f t="shared" si="13"/>
        <v>884000</v>
      </c>
      <c r="V35" s="40">
        <f t="shared" si="13"/>
        <v>884000</v>
      </c>
      <c r="W35" s="189">
        <f t="shared" si="12"/>
        <v>19061488.300000001</v>
      </c>
      <c r="X35" s="189">
        <f>NPV('1сел'!$X$1,B35:V35)</f>
        <v>15488380.394671835</v>
      </c>
    </row>
    <row r="36" spans="1:25" x14ac:dyDescent="0.25">
      <c r="A36" s="201" t="s">
        <v>341</v>
      </c>
      <c r="W36" s="189">
        <f t="shared" si="12"/>
        <v>0</v>
      </c>
      <c r="X36" s="189">
        <f>NPV('1сел'!$X$1,B36:V36)</f>
        <v>0</v>
      </c>
    </row>
    <row r="37" spans="1:25" x14ac:dyDescent="0.25">
      <c r="A37" s="191" t="s">
        <v>265</v>
      </c>
      <c r="B37" s="215">
        <f>'1сел'!B30</f>
        <v>0</v>
      </c>
      <c r="C37" s="215">
        <f>'1сел'!C30</f>
        <v>0</v>
      </c>
      <c r="D37" s="215">
        <f>'1сел'!D30</f>
        <v>0</v>
      </c>
      <c r="E37" s="215">
        <f>'1сел'!E30</f>
        <v>0</v>
      </c>
      <c r="F37" s="215">
        <f>'1сел'!F30</f>
        <v>0</v>
      </c>
      <c r="G37" s="215">
        <f>'1сел'!G30</f>
        <v>0</v>
      </c>
      <c r="H37" s="215">
        <f>'1сел'!H30</f>
        <v>0</v>
      </c>
      <c r="I37" s="215">
        <f>'1сел'!I30</f>
        <v>0</v>
      </c>
      <c r="J37" s="215">
        <f>'1сел'!J30</f>
        <v>0</v>
      </c>
      <c r="K37" s="215">
        <f>'1сел'!K30</f>
        <v>8500</v>
      </c>
      <c r="L37" s="215">
        <f>'1сел'!L30</f>
        <v>8500</v>
      </c>
      <c r="M37" s="215">
        <f>'1сел'!M30</f>
        <v>8500</v>
      </c>
      <c r="N37" s="215">
        <f>'1сел'!N30</f>
        <v>8500</v>
      </c>
      <c r="O37" s="215">
        <f>'1сел'!O30</f>
        <v>8500</v>
      </c>
      <c r="P37" s="215">
        <f>'1сел'!P30</f>
        <v>8500</v>
      </c>
      <c r="Q37" s="215">
        <f>'1сел'!Q30</f>
        <v>8500</v>
      </c>
      <c r="R37" s="215">
        <f>'1сел'!R30</f>
        <v>8500</v>
      </c>
      <c r="S37" s="215">
        <f>'1сел'!S30</f>
        <v>8500</v>
      </c>
      <c r="T37" s="215">
        <f>'1сел'!T30</f>
        <v>8500</v>
      </c>
      <c r="U37" s="215">
        <f>'1сел'!U30</f>
        <v>8500</v>
      </c>
      <c r="V37" s="215">
        <f>'1сел'!V30</f>
        <v>8500</v>
      </c>
      <c r="W37" s="189">
        <f t="shared" si="12"/>
        <v>102000</v>
      </c>
      <c r="X37" s="189">
        <f>NPV('1сел'!$X$1,B37:V37)</f>
        <v>75216.265867522423</v>
      </c>
    </row>
    <row r="38" spans="1:25" x14ac:dyDescent="0.25">
      <c r="A38" s="191" t="s">
        <v>267</v>
      </c>
      <c r="B38" s="245">
        <f>'3товар'!B17*1000*$J$1</f>
        <v>2805000</v>
      </c>
      <c r="C38" s="245">
        <f>'3товар'!C17*1000*$J$1</f>
        <v>2805000</v>
      </c>
      <c r="D38" s="245">
        <f>'3товар'!D17*1000*$J$1</f>
        <v>2805000</v>
      </c>
      <c r="E38" s="245">
        <f>'3товар'!E17*1000*$J$1</f>
        <v>2805000</v>
      </c>
      <c r="F38" s="245">
        <f>'3товар'!F17*1000*$J$1</f>
        <v>2805000</v>
      </c>
      <c r="G38" s="245">
        <f>'3товар'!G17*1000*$J$1</f>
        <v>2805000</v>
      </c>
      <c r="H38" s="245">
        <f>'3товар'!H17*1000*$J$1</f>
        <v>2805000</v>
      </c>
      <c r="I38" s="245">
        <f>'3товар'!I17*1000*$J$1</f>
        <v>2805000</v>
      </c>
      <c r="J38" s="245">
        <f>'3товар'!J17*1000*$J$1</f>
        <v>2805000</v>
      </c>
      <c r="K38" s="245">
        <f>'3товар'!K17*1000*$J$1</f>
        <v>2805000</v>
      </c>
      <c r="L38" s="245">
        <f>'3товар'!L17*1000*$J$1</f>
        <v>2805000</v>
      </c>
      <c r="M38" s="245">
        <f>'3товар'!M17*1000*$J$1</f>
        <v>2805000</v>
      </c>
      <c r="N38" s="245">
        <f>'3товар'!N17*1000*$J$1</f>
        <v>2805000</v>
      </c>
      <c r="O38" s="245">
        <f>'3товар'!O17*1000*$J$1</f>
        <v>2805000</v>
      </c>
      <c r="P38" s="245">
        <f>'3товар'!P17*1000*$J$1</f>
        <v>2805000</v>
      </c>
      <c r="Q38" s="245">
        <f>'3товар'!Q17*1000*$J$1</f>
        <v>2805000</v>
      </c>
      <c r="R38" s="245">
        <f>'3товар'!R17*1000*$J$1</f>
        <v>2805000</v>
      </c>
      <c r="S38" s="245">
        <f>'3товар'!S17*1000*$J$1</f>
        <v>2805000</v>
      </c>
      <c r="T38" s="245">
        <f>'3товар'!T17*1000*$J$1</f>
        <v>2805000</v>
      </c>
      <c r="U38" s="245">
        <f>'3товар'!U17*1000*$J$1</f>
        <v>2805000</v>
      </c>
      <c r="V38" s="245">
        <f>'3товар'!V17*1000*$J$1</f>
        <v>2805000</v>
      </c>
      <c r="W38" s="189">
        <f t="shared" si="12"/>
        <v>58905000</v>
      </c>
      <c r="X38" s="189">
        <f>NPV('1сел'!$X$1,B38:V38)</f>
        <v>47716441.697642058</v>
      </c>
    </row>
    <row r="39" spans="1:25" s="145" customFormat="1" x14ac:dyDescent="0.25">
      <c r="A39" s="267" t="s">
        <v>266</v>
      </c>
      <c r="B39" s="271">
        <f>'2сем'!B30</f>
        <v>0</v>
      </c>
      <c r="C39" s="271">
        <f>'2сем'!C30</f>
        <v>0</v>
      </c>
      <c r="D39" s="271">
        <f>'2сем'!D30</f>
        <v>0</v>
      </c>
      <c r="E39" s="271">
        <f>'2сем'!E30</f>
        <v>0</v>
      </c>
      <c r="F39" s="271">
        <f>'2сем'!F30</f>
        <v>0</v>
      </c>
      <c r="G39" s="271">
        <f>'2сем'!G30</f>
        <v>0</v>
      </c>
      <c r="H39" s="271">
        <f>'2сем'!H30</f>
        <v>0</v>
      </c>
      <c r="I39" s="271">
        <f>'2сем'!I30</f>
        <v>0</v>
      </c>
      <c r="J39" s="271">
        <f>'2сем'!J30</f>
        <v>2040</v>
      </c>
      <c r="K39" s="271">
        <f>'2сем'!K30</f>
        <v>0</v>
      </c>
      <c r="L39" s="271">
        <f>'2сем'!L30</f>
        <v>0</v>
      </c>
      <c r="M39" s="271">
        <f>'2сем'!M30</f>
        <v>2040</v>
      </c>
      <c r="N39" s="271">
        <f>'2сем'!N30</f>
        <v>0</v>
      </c>
      <c r="O39" s="271">
        <f>'2сем'!O30</f>
        <v>0</v>
      </c>
      <c r="P39" s="271">
        <f>'2сем'!P30</f>
        <v>2040</v>
      </c>
      <c r="Q39" s="271">
        <f>'2сем'!Q30</f>
        <v>0</v>
      </c>
      <c r="R39" s="271">
        <f>'2сем'!R30</f>
        <v>0</v>
      </c>
      <c r="S39" s="271">
        <f>'2сем'!S30</f>
        <v>2040</v>
      </c>
      <c r="T39" s="271">
        <f>'2сем'!T30</f>
        <v>0</v>
      </c>
      <c r="U39" s="271">
        <f>'2сем'!U30</f>
        <v>0</v>
      </c>
      <c r="V39" s="271">
        <f>'2сем'!V30</f>
        <v>0</v>
      </c>
      <c r="W39" s="270">
        <f t="shared" si="12"/>
        <v>8160</v>
      </c>
      <c r="X39" s="270">
        <f>NPV('1сел'!$X$1,B39:V39)</f>
        <v>6259.5819946732508</v>
      </c>
    </row>
    <row r="40" spans="1:25" x14ac:dyDescent="0.25">
      <c r="A40" s="194" t="s">
        <v>263</v>
      </c>
      <c r="B40" s="194">
        <f>SUM(B37:B39)</f>
        <v>2805000</v>
      </c>
      <c r="C40" s="194">
        <f t="shared" ref="C40:V40" si="14">SUM(C37:C39)</f>
        <v>2805000</v>
      </c>
      <c r="D40" s="194">
        <f t="shared" si="14"/>
        <v>2805000</v>
      </c>
      <c r="E40" s="194">
        <f t="shared" si="14"/>
        <v>2805000</v>
      </c>
      <c r="F40" s="194">
        <f t="shared" si="14"/>
        <v>2805000</v>
      </c>
      <c r="G40" s="194">
        <f t="shared" si="14"/>
        <v>2805000</v>
      </c>
      <c r="H40" s="194">
        <f t="shared" si="14"/>
        <v>2805000</v>
      </c>
      <c r="I40" s="194">
        <f t="shared" si="14"/>
        <v>2805000</v>
      </c>
      <c r="J40" s="194">
        <f t="shared" si="14"/>
        <v>2807040</v>
      </c>
      <c r="K40" s="194">
        <f t="shared" si="14"/>
        <v>2813500</v>
      </c>
      <c r="L40" s="194">
        <f t="shared" si="14"/>
        <v>2813500</v>
      </c>
      <c r="M40" s="194">
        <f t="shared" si="14"/>
        <v>2815540</v>
      </c>
      <c r="N40" s="194">
        <f t="shared" si="14"/>
        <v>2813500</v>
      </c>
      <c r="O40" s="194">
        <f t="shared" si="14"/>
        <v>2813500</v>
      </c>
      <c r="P40" s="194">
        <f t="shared" si="14"/>
        <v>2815540</v>
      </c>
      <c r="Q40" s="194">
        <f t="shared" si="14"/>
        <v>2813500</v>
      </c>
      <c r="R40" s="194">
        <f t="shared" si="14"/>
        <v>2813500</v>
      </c>
      <c r="S40" s="194">
        <f t="shared" si="14"/>
        <v>2815540</v>
      </c>
      <c r="T40" s="194">
        <f t="shared" si="14"/>
        <v>2813500</v>
      </c>
      <c r="U40" s="194">
        <f t="shared" si="14"/>
        <v>2813500</v>
      </c>
      <c r="V40" s="194">
        <f t="shared" si="14"/>
        <v>2813500</v>
      </c>
      <c r="W40" s="189">
        <f t="shared" si="12"/>
        <v>59015160</v>
      </c>
      <c r="X40" s="189">
        <f>NPV('1сел'!$X$1,B40:V40)</f>
        <v>47797917.545504265</v>
      </c>
    </row>
    <row r="41" spans="1:25" x14ac:dyDescent="0.25">
      <c r="A41" s="48" t="s">
        <v>268</v>
      </c>
      <c r="B41" s="37">
        <f>B37-B32</f>
        <v>-12000</v>
      </c>
      <c r="C41" s="37">
        <f t="shared" ref="C41:V43" si="15">C37-C32</f>
        <v>-3072</v>
      </c>
      <c r="D41" s="37">
        <f t="shared" si="15"/>
        <v>-4397</v>
      </c>
      <c r="E41" s="37">
        <f t="shared" si="15"/>
        <v>-4397</v>
      </c>
      <c r="F41" s="37">
        <f t="shared" si="15"/>
        <v>-56</v>
      </c>
      <c r="G41" s="37">
        <f t="shared" si="15"/>
        <v>-6.3</v>
      </c>
      <c r="H41" s="37">
        <f t="shared" si="15"/>
        <v>0</v>
      </c>
      <c r="I41" s="37">
        <f t="shared" si="15"/>
        <v>0</v>
      </c>
      <c r="J41" s="37">
        <f t="shared" si="15"/>
        <v>-2040</v>
      </c>
      <c r="K41" s="37">
        <f t="shared" si="15"/>
        <v>8500</v>
      </c>
      <c r="L41" s="37">
        <f t="shared" si="15"/>
        <v>8500</v>
      </c>
      <c r="M41" s="37">
        <f t="shared" si="15"/>
        <v>6460</v>
      </c>
      <c r="N41" s="37">
        <f t="shared" si="15"/>
        <v>8500</v>
      </c>
      <c r="O41" s="37">
        <f t="shared" si="15"/>
        <v>8500</v>
      </c>
      <c r="P41" s="37">
        <f t="shared" si="15"/>
        <v>6460</v>
      </c>
      <c r="Q41" s="37">
        <f t="shared" si="15"/>
        <v>8500</v>
      </c>
      <c r="R41" s="37">
        <f t="shared" si="15"/>
        <v>8500</v>
      </c>
      <c r="S41" s="37">
        <f t="shared" si="15"/>
        <v>6460</v>
      </c>
      <c r="T41" s="37">
        <f t="shared" si="15"/>
        <v>8500</v>
      </c>
      <c r="U41" s="37">
        <f t="shared" si="15"/>
        <v>8500</v>
      </c>
      <c r="V41" s="37">
        <f t="shared" si="15"/>
        <v>8500</v>
      </c>
      <c r="W41" s="189">
        <f t="shared" si="12"/>
        <v>69911.7</v>
      </c>
      <c r="X41" s="189">
        <f>NPV('1сел'!$X$1,B41:V41)</f>
        <v>45977.41270623295</v>
      </c>
    </row>
    <row r="42" spans="1:25" x14ac:dyDescent="0.25">
      <c r="A42" s="245" t="s">
        <v>269</v>
      </c>
      <c r="B42" s="245">
        <f>B38-B33</f>
        <v>1870000</v>
      </c>
      <c r="C42" s="245">
        <f t="shared" si="15"/>
        <v>1870000</v>
      </c>
      <c r="D42" s="245">
        <f t="shared" si="15"/>
        <v>1870000</v>
      </c>
      <c r="E42" s="245">
        <f t="shared" si="15"/>
        <v>1870000</v>
      </c>
      <c r="F42" s="245">
        <f t="shared" si="15"/>
        <v>1870000</v>
      </c>
      <c r="G42" s="245">
        <f t="shared" si="15"/>
        <v>1870000</v>
      </c>
      <c r="H42" s="245">
        <f t="shared" si="15"/>
        <v>1870000</v>
      </c>
      <c r="I42" s="245">
        <f t="shared" si="15"/>
        <v>1870000</v>
      </c>
      <c r="J42" s="245">
        <f t="shared" si="15"/>
        <v>1870000</v>
      </c>
      <c r="K42" s="245">
        <f t="shared" si="15"/>
        <v>1921000</v>
      </c>
      <c r="L42" s="245">
        <f t="shared" si="15"/>
        <v>1921000</v>
      </c>
      <c r="M42" s="245">
        <f t="shared" si="15"/>
        <v>1921000</v>
      </c>
      <c r="N42" s="245">
        <f t="shared" si="15"/>
        <v>1921000</v>
      </c>
      <c r="O42" s="245">
        <f t="shared" si="15"/>
        <v>1921000</v>
      </c>
      <c r="P42" s="245">
        <f t="shared" si="15"/>
        <v>1921000</v>
      </c>
      <c r="Q42" s="245">
        <f t="shared" si="15"/>
        <v>1921000</v>
      </c>
      <c r="R42" s="245">
        <f t="shared" si="15"/>
        <v>1921000</v>
      </c>
      <c r="S42" s="245">
        <f t="shared" si="15"/>
        <v>1921000</v>
      </c>
      <c r="T42" s="245">
        <f t="shared" si="15"/>
        <v>1921000</v>
      </c>
      <c r="U42" s="245">
        <f t="shared" si="15"/>
        <v>1921000</v>
      </c>
      <c r="V42" s="245">
        <f t="shared" si="15"/>
        <v>1921000</v>
      </c>
      <c r="W42" s="189">
        <f t="shared" si="12"/>
        <v>39882000</v>
      </c>
      <c r="X42" s="189">
        <f>NPV('1сел'!$X$1,B42:V42)</f>
        <v>32262258.726966508</v>
      </c>
    </row>
    <row r="43" spans="1:25" s="147" customFormat="1" x14ac:dyDescent="0.25">
      <c r="A43" s="272" t="s">
        <v>270</v>
      </c>
      <c r="B43" s="273">
        <f>B39-B34</f>
        <v>0</v>
      </c>
      <c r="C43" s="273">
        <f t="shared" si="15"/>
        <v>0</v>
      </c>
      <c r="D43" s="273">
        <f t="shared" si="15"/>
        <v>0</v>
      </c>
      <c r="E43" s="273">
        <f t="shared" si="15"/>
        <v>0</v>
      </c>
      <c r="F43" s="273">
        <f t="shared" si="15"/>
        <v>0</v>
      </c>
      <c r="G43" s="273">
        <f t="shared" si="15"/>
        <v>0</v>
      </c>
      <c r="H43" s="273">
        <f t="shared" si="15"/>
        <v>0</v>
      </c>
      <c r="I43" s="273">
        <f t="shared" si="15"/>
        <v>-800.00000000000011</v>
      </c>
      <c r="J43" s="273">
        <f t="shared" si="15"/>
        <v>1240</v>
      </c>
      <c r="K43" s="273">
        <f t="shared" si="15"/>
        <v>0</v>
      </c>
      <c r="L43" s="273">
        <f t="shared" si="15"/>
        <v>-800.00000000000011</v>
      </c>
      <c r="M43" s="273">
        <f t="shared" si="15"/>
        <v>1240</v>
      </c>
      <c r="N43" s="273">
        <f t="shared" si="15"/>
        <v>0</v>
      </c>
      <c r="O43" s="273">
        <f t="shared" si="15"/>
        <v>-800.00000000000011</v>
      </c>
      <c r="P43" s="273">
        <f t="shared" si="15"/>
        <v>1240</v>
      </c>
      <c r="Q43" s="273">
        <f t="shared" si="15"/>
        <v>0</v>
      </c>
      <c r="R43" s="273">
        <f t="shared" si="15"/>
        <v>-800.00000000000011</v>
      </c>
      <c r="S43" s="273">
        <f t="shared" si="15"/>
        <v>1240</v>
      </c>
      <c r="T43" s="273">
        <f t="shared" si="15"/>
        <v>0</v>
      </c>
      <c r="U43" s="273">
        <f t="shared" si="15"/>
        <v>0</v>
      </c>
      <c r="V43" s="273">
        <f t="shared" si="15"/>
        <v>0</v>
      </c>
      <c r="W43" s="270">
        <f t="shared" si="12"/>
        <v>1759.9999999999995</v>
      </c>
      <c r="X43" s="270">
        <f>NPV('1сел'!$X$1,B43:V43)</f>
        <v>1301.0111596771853</v>
      </c>
      <c r="Y43" s="145"/>
    </row>
    <row r="44" spans="1:25" x14ac:dyDescent="0.25">
      <c r="A44" s="48" t="s">
        <v>271</v>
      </c>
      <c r="B44" s="37">
        <f>SUM(B41:B43)</f>
        <v>1858000</v>
      </c>
      <c r="C44" s="37">
        <f t="shared" ref="C44:V44" si="16">SUM(C41:C43)</f>
        <v>1866928</v>
      </c>
      <c r="D44" s="37">
        <f t="shared" si="16"/>
        <v>1865603</v>
      </c>
      <c r="E44" s="37">
        <f t="shared" si="16"/>
        <v>1865603</v>
      </c>
      <c r="F44" s="37">
        <f t="shared" si="16"/>
        <v>1869944</v>
      </c>
      <c r="G44" s="37">
        <f t="shared" si="16"/>
        <v>1869993.7</v>
      </c>
      <c r="H44" s="37">
        <f t="shared" si="16"/>
        <v>1870000</v>
      </c>
      <c r="I44" s="37">
        <f t="shared" si="16"/>
        <v>1869200</v>
      </c>
      <c r="J44" s="37">
        <f>SUM(J41:J43)</f>
        <v>1869200</v>
      </c>
      <c r="K44" s="37">
        <f t="shared" si="16"/>
        <v>1929500</v>
      </c>
      <c r="L44" s="37">
        <f t="shared" si="16"/>
        <v>1928700</v>
      </c>
      <c r="M44" s="37">
        <f t="shared" si="16"/>
        <v>1928700</v>
      </c>
      <c r="N44" s="37">
        <f t="shared" si="16"/>
        <v>1929500</v>
      </c>
      <c r="O44" s="37">
        <f t="shared" si="16"/>
        <v>1928700</v>
      </c>
      <c r="P44" s="37">
        <f t="shared" si="16"/>
        <v>1928700</v>
      </c>
      <c r="Q44" s="37">
        <f t="shared" si="16"/>
        <v>1929500</v>
      </c>
      <c r="R44" s="37">
        <f t="shared" si="16"/>
        <v>1928700</v>
      </c>
      <c r="S44" s="37">
        <f t="shared" si="16"/>
        <v>1928700</v>
      </c>
      <c r="T44" s="37">
        <f t="shared" si="16"/>
        <v>1929500</v>
      </c>
      <c r="U44" s="37">
        <f t="shared" si="16"/>
        <v>1929500</v>
      </c>
      <c r="V44" s="37">
        <f t="shared" si="16"/>
        <v>1929500</v>
      </c>
      <c r="W44" s="189">
        <f t="shared" si="12"/>
        <v>39953671.700000003</v>
      </c>
      <c r="X44" s="189">
        <f>NPV('1сел'!$X$1,B44:V44)</f>
        <v>32309537.150832415</v>
      </c>
    </row>
    <row r="45" spans="1:25" x14ac:dyDescent="0.25">
      <c r="A45" s="195" t="s">
        <v>318</v>
      </c>
      <c r="B45" s="196">
        <f t="shared" ref="B45:V45" si="17">B51-B44</f>
        <v>0</v>
      </c>
      <c r="C45" s="196">
        <f t="shared" si="17"/>
        <v>0</v>
      </c>
      <c r="D45" s="196">
        <f t="shared" si="17"/>
        <v>0</v>
      </c>
      <c r="E45" s="196">
        <f t="shared" si="17"/>
        <v>0</v>
      </c>
      <c r="F45" s="196">
        <f t="shared" si="17"/>
        <v>0</v>
      </c>
      <c r="G45" s="196">
        <f t="shared" si="17"/>
        <v>0</v>
      </c>
      <c r="H45" s="196">
        <f t="shared" si="17"/>
        <v>0</v>
      </c>
      <c r="I45" s="196">
        <f t="shared" si="17"/>
        <v>0</v>
      </c>
      <c r="J45" s="263">
        <f t="shared" si="17"/>
        <v>0</v>
      </c>
      <c r="K45" s="196">
        <f t="shared" si="17"/>
        <v>0</v>
      </c>
      <c r="L45" s="196">
        <f t="shared" si="17"/>
        <v>0</v>
      </c>
      <c r="M45" s="196">
        <f t="shared" si="17"/>
        <v>0</v>
      </c>
      <c r="N45" s="196">
        <f t="shared" si="17"/>
        <v>0</v>
      </c>
      <c r="O45" s="196">
        <f t="shared" si="17"/>
        <v>0</v>
      </c>
      <c r="P45" s="196">
        <f t="shared" si="17"/>
        <v>0</v>
      </c>
      <c r="Q45" s="196">
        <f t="shared" si="17"/>
        <v>0</v>
      </c>
      <c r="R45" s="196">
        <f t="shared" si="17"/>
        <v>0</v>
      </c>
      <c r="S45" s="196">
        <f t="shared" si="17"/>
        <v>0</v>
      </c>
      <c r="T45" s="196">
        <f t="shared" si="17"/>
        <v>0</v>
      </c>
      <c r="U45" s="196">
        <f t="shared" si="17"/>
        <v>0</v>
      </c>
      <c r="V45" s="196">
        <f t="shared" si="17"/>
        <v>0</v>
      </c>
      <c r="W45" s="189">
        <f t="shared" si="12"/>
        <v>0</v>
      </c>
      <c r="X45" s="189">
        <f>NPV('1сел'!$X$1,B45:V45)</f>
        <v>0</v>
      </c>
    </row>
    <row r="46" spans="1:25" x14ac:dyDescent="0.25">
      <c r="A46" s="48" t="s">
        <v>272</v>
      </c>
      <c r="B46" s="48">
        <f>B40-B35</f>
        <v>1858000</v>
      </c>
      <c r="C46" s="48">
        <f t="shared" ref="C46:V46" si="18">C40-C35</f>
        <v>1866928</v>
      </c>
      <c r="D46" s="48">
        <f t="shared" si="18"/>
        <v>1865603</v>
      </c>
      <c r="E46" s="48">
        <f t="shared" si="18"/>
        <v>1865603</v>
      </c>
      <c r="F46" s="48">
        <f t="shared" si="18"/>
        <v>1869944</v>
      </c>
      <c r="G46" s="48">
        <f t="shared" si="18"/>
        <v>1869993.7</v>
      </c>
      <c r="H46" s="48">
        <f t="shared" si="18"/>
        <v>1870000</v>
      </c>
      <c r="I46" s="48">
        <f t="shared" si="18"/>
        <v>1869200</v>
      </c>
      <c r="J46" s="48">
        <f t="shared" si="18"/>
        <v>1869200</v>
      </c>
      <c r="K46" s="48">
        <f t="shared" si="18"/>
        <v>1929500</v>
      </c>
      <c r="L46" s="48">
        <f t="shared" si="18"/>
        <v>1928700</v>
      </c>
      <c r="M46" s="48">
        <f t="shared" si="18"/>
        <v>1928700</v>
      </c>
      <c r="N46" s="48">
        <f t="shared" si="18"/>
        <v>1929500</v>
      </c>
      <c r="O46" s="48">
        <f t="shared" si="18"/>
        <v>1928700</v>
      </c>
      <c r="P46" s="48">
        <f t="shared" si="18"/>
        <v>1928700</v>
      </c>
      <c r="Q46" s="48">
        <f t="shared" si="18"/>
        <v>1929500</v>
      </c>
      <c r="R46" s="48">
        <f t="shared" si="18"/>
        <v>1928700</v>
      </c>
      <c r="S46" s="48">
        <f t="shared" si="18"/>
        <v>1928700</v>
      </c>
      <c r="T46" s="48">
        <f t="shared" si="18"/>
        <v>1929500</v>
      </c>
      <c r="U46" s="48">
        <f t="shared" si="18"/>
        <v>1929500</v>
      </c>
      <c r="V46" s="48">
        <f t="shared" si="18"/>
        <v>1929500</v>
      </c>
      <c r="W46" s="189">
        <f t="shared" si="12"/>
        <v>39953671.700000003</v>
      </c>
      <c r="X46" s="189">
        <f>NPV('1сел'!$X$1,B46:V46)</f>
        <v>32309537.150832415</v>
      </c>
    </row>
    <row r="47" spans="1:25" x14ac:dyDescent="0.25">
      <c r="A47" s="274" t="s">
        <v>328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9"/>
      <c r="X47" s="199"/>
    </row>
    <row r="48" spans="1:25" x14ac:dyDescent="0.25">
      <c r="A48" s="39" t="s">
        <v>85</v>
      </c>
      <c r="B48" s="58">
        <f>B37-B32</f>
        <v>-12000</v>
      </c>
      <c r="C48" s="58">
        <f t="shared" ref="C48:V50" si="19">C37-C32</f>
        <v>-3072</v>
      </c>
      <c r="D48" s="58">
        <f t="shared" si="19"/>
        <v>-4397</v>
      </c>
      <c r="E48" s="58">
        <f t="shared" si="19"/>
        <v>-4397</v>
      </c>
      <c r="F48" s="58">
        <f t="shared" si="19"/>
        <v>-56</v>
      </c>
      <c r="G48" s="58">
        <f t="shared" si="19"/>
        <v>-6.3</v>
      </c>
      <c r="H48" s="58">
        <f t="shared" si="19"/>
        <v>0</v>
      </c>
      <c r="I48" s="58">
        <f t="shared" si="19"/>
        <v>0</v>
      </c>
      <c r="J48" s="58">
        <f t="shared" si="19"/>
        <v>-2040</v>
      </c>
      <c r="K48" s="58">
        <f t="shared" si="19"/>
        <v>8500</v>
      </c>
      <c r="L48" s="58">
        <f t="shared" si="19"/>
        <v>8500</v>
      </c>
      <c r="M48" s="58">
        <f t="shared" si="19"/>
        <v>6460</v>
      </c>
      <c r="N48" s="58">
        <f t="shared" si="19"/>
        <v>8500</v>
      </c>
      <c r="O48" s="58">
        <f t="shared" si="19"/>
        <v>8500</v>
      </c>
      <c r="P48" s="58">
        <f t="shared" si="19"/>
        <v>6460</v>
      </c>
      <c r="Q48" s="58">
        <f t="shared" si="19"/>
        <v>8500</v>
      </c>
      <c r="R48" s="58">
        <f t="shared" si="19"/>
        <v>8500</v>
      </c>
      <c r="S48" s="58">
        <f t="shared" si="19"/>
        <v>6460</v>
      </c>
      <c r="T48" s="58">
        <f t="shared" si="19"/>
        <v>8500</v>
      </c>
      <c r="U48" s="58">
        <f t="shared" si="19"/>
        <v>8500</v>
      </c>
      <c r="V48" s="58">
        <f t="shared" si="19"/>
        <v>8500</v>
      </c>
      <c r="W48" s="199">
        <f>SUM(B48:V48)</f>
        <v>69911.7</v>
      </c>
      <c r="X48" s="199">
        <f>NPV('1сел'!$X$1,B48:V48)</f>
        <v>45977.41270623295</v>
      </c>
    </row>
    <row r="49" spans="1:25" x14ac:dyDescent="0.25">
      <c r="A49" s="38" t="s">
        <v>86</v>
      </c>
      <c r="B49" s="58">
        <f>B38-B33</f>
        <v>1870000</v>
      </c>
      <c r="C49" s="58">
        <f t="shared" si="19"/>
        <v>1870000</v>
      </c>
      <c r="D49" s="58">
        <f t="shared" si="19"/>
        <v>1870000</v>
      </c>
      <c r="E49" s="58">
        <f t="shared" si="19"/>
        <v>1870000</v>
      </c>
      <c r="F49" s="58">
        <f t="shared" si="19"/>
        <v>1870000</v>
      </c>
      <c r="G49" s="58">
        <f t="shared" si="19"/>
        <v>1870000</v>
      </c>
      <c r="H49" s="58">
        <f t="shared" si="19"/>
        <v>1870000</v>
      </c>
      <c r="I49" s="58">
        <f t="shared" si="19"/>
        <v>1870000</v>
      </c>
      <c r="J49" s="58">
        <f t="shared" si="19"/>
        <v>1870000</v>
      </c>
      <c r="K49" s="58">
        <f t="shared" si="19"/>
        <v>1921000</v>
      </c>
      <c r="L49" s="58">
        <f t="shared" si="19"/>
        <v>1921000</v>
      </c>
      <c r="M49" s="58">
        <f t="shared" si="19"/>
        <v>1921000</v>
      </c>
      <c r="N49" s="58">
        <f t="shared" si="19"/>
        <v>1921000</v>
      </c>
      <c r="O49" s="58">
        <f t="shared" si="19"/>
        <v>1921000</v>
      </c>
      <c r="P49" s="58">
        <f t="shared" si="19"/>
        <v>1921000</v>
      </c>
      <c r="Q49" s="58">
        <f t="shared" si="19"/>
        <v>1921000</v>
      </c>
      <c r="R49" s="58">
        <f t="shared" si="19"/>
        <v>1921000</v>
      </c>
      <c r="S49" s="58">
        <f t="shared" si="19"/>
        <v>1921000</v>
      </c>
      <c r="T49" s="58">
        <f t="shared" si="19"/>
        <v>1921000</v>
      </c>
      <c r="U49" s="58">
        <f t="shared" si="19"/>
        <v>1921000</v>
      </c>
      <c r="V49" s="58">
        <f t="shared" si="19"/>
        <v>1921000</v>
      </c>
      <c r="W49" s="199">
        <f>SUM(B49:V49)</f>
        <v>39882000</v>
      </c>
      <c r="X49" s="199">
        <f>NPV('1сел'!$X$1,B49:V49)</f>
        <v>32262258.726966508</v>
      </c>
    </row>
    <row r="50" spans="1:25" x14ac:dyDescent="0.25">
      <c r="A50" s="38" t="s">
        <v>87</v>
      </c>
      <c r="B50" s="58">
        <f>B39-B34</f>
        <v>0</v>
      </c>
      <c r="C50" s="58">
        <f t="shared" si="19"/>
        <v>0</v>
      </c>
      <c r="D50" s="58">
        <f t="shared" si="19"/>
        <v>0</v>
      </c>
      <c r="E50" s="58">
        <f t="shared" si="19"/>
        <v>0</v>
      </c>
      <c r="F50" s="58">
        <f t="shared" si="19"/>
        <v>0</v>
      </c>
      <c r="G50" s="58">
        <f t="shared" si="19"/>
        <v>0</v>
      </c>
      <c r="H50" s="58">
        <f t="shared" si="19"/>
        <v>0</v>
      </c>
      <c r="I50" s="58">
        <f t="shared" si="19"/>
        <v>-800.00000000000011</v>
      </c>
      <c r="J50" s="58">
        <f t="shared" si="19"/>
        <v>1240</v>
      </c>
      <c r="K50" s="58">
        <f t="shared" si="19"/>
        <v>0</v>
      </c>
      <c r="L50" s="58">
        <f t="shared" si="19"/>
        <v>-800.00000000000011</v>
      </c>
      <c r="M50" s="58">
        <f t="shared" si="19"/>
        <v>1240</v>
      </c>
      <c r="N50" s="58">
        <f t="shared" si="19"/>
        <v>0</v>
      </c>
      <c r="O50" s="58">
        <f t="shared" si="19"/>
        <v>-800.00000000000011</v>
      </c>
      <c r="P50" s="58">
        <f t="shared" si="19"/>
        <v>1240</v>
      </c>
      <c r="Q50" s="58">
        <f t="shared" si="19"/>
        <v>0</v>
      </c>
      <c r="R50" s="58">
        <f t="shared" si="19"/>
        <v>-800.00000000000011</v>
      </c>
      <c r="S50" s="58">
        <f t="shared" si="19"/>
        <v>1240</v>
      </c>
      <c r="T50" s="58">
        <f t="shared" si="19"/>
        <v>0</v>
      </c>
      <c r="U50" s="58">
        <f t="shared" si="19"/>
        <v>0</v>
      </c>
      <c r="V50" s="58">
        <f t="shared" si="19"/>
        <v>0</v>
      </c>
      <c r="W50" s="199">
        <f>SUM(B50:V50)</f>
        <v>1759.9999999999995</v>
      </c>
      <c r="X50" s="199">
        <f>NPV('1сел'!$X$1,B50:V50)</f>
        <v>1301.0111596771853</v>
      </c>
    </row>
    <row r="51" spans="1:25" x14ac:dyDescent="0.25">
      <c r="A51" s="95" t="s">
        <v>88</v>
      </c>
      <c r="B51" s="275">
        <f t="shared" ref="B51:V51" si="20">SUM(B48:B50)</f>
        <v>1858000</v>
      </c>
      <c r="C51" s="275">
        <f t="shared" si="20"/>
        <v>1866928</v>
      </c>
      <c r="D51" s="275">
        <f t="shared" si="20"/>
        <v>1865603</v>
      </c>
      <c r="E51" s="275">
        <f t="shared" si="20"/>
        <v>1865603</v>
      </c>
      <c r="F51" s="275">
        <f t="shared" si="20"/>
        <v>1869944</v>
      </c>
      <c r="G51" s="275">
        <f t="shared" si="20"/>
        <v>1869993.7</v>
      </c>
      <c r="H51" s="275">
        <f t="shared" si="20"/>
        <v>1870000</v>
      </c>
      <c r="I51" s="275">
        <f t="shared" si="20"/>
        <v>1869200</v>
      </c>
      <c r="J51" s="275">
        <f>SUM(J48:J50)</f>
        <v>1869200</v>
      </c>
      <c r="K51" s="275">
        <f t="shared" si="20"/>
        <v>1929500</v>
      </c>
      <c r="L51" s="275">
        <f t="shared" si="20"/>
        <v>1928700</v>
      </c>
      <c r="M51" s="275">
        <f t="shared" si="20"/>
        <v>1928700</v>
      </c>
      <c r="N51" s="275">
        <f t="shared" si="20"/>
        <v>1929500</v>
      </c>
      <c r="O51" s="275">
        <f t="shared" si="20"/>
        <v>1928700</v>
      </c>
      <c r="P51" s="275">
        <f t="shared" si="20"/>
        <v>1928700</v>
      </c>
      <c r="Q51" s="275">
        <f t="shared" si="20"/>
        <v>1929500</v>
      </c>
      <c r="R51" s="275">
        <f t="shared" si="20"/>
        <v>1928700</v>
      </c>
      <c r="S51" s="275">
        <f t="shared" si="20"/>
        <v>1928700</v>
      </c>
      <c r="T51" s="275">
        <f t="shared" si="20"/>
        <v>1929500</v>
      </c>
      <c r="U51" s="275">
        <f t="shared" si="20"/>
        <v>1929500</v>
      </c>
      <c r="V51" s="275">
        <f t="shared" si="20"/>
        <v>1929500</v>
      </c>
      <c r="W51" s="199">
        <f>SUM(B51:V51)</f>
        <v>39953671.700000003</v>
      </c>
      <c r="X51" s="199">
        <f>NPV('1сел'!$X$1,B51:V51)</f>
        <v>32309537.150832415</v>
      </c>
    </row>
    <row r="52" spans="1:25" x14ac:dyDescent="0.25">
      <c r="A52" s="67" t="s">
        <v>366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199"/>
      <c r="X52" s="199"/>
    </row>
    <row r="53" spans="1:25" x14ac:dyDescent="0.25">
      <c r="A53" s="95" t="s">
        <v>329</v>
      </c>
      <c r="B53" s="275">
        <f>B48</f>
        <v>-12000</v>
      </c>
      <c r="C53" s="275">
        <f>B53+C48</f>
        <v>-15072</v>
      </c>
      <c r="D53" s="275">
        <f t="shared" ref="D53:V55" si="21">C53+D48</f>
        <v>-19469</v>
      </c>
      <c r="E53" s="275">
        <f t="shared" si="21"/>
        <v>-23866</v>
      </c>
      <c r="F53" s="275">
        <f t="shared" si="21"/>
        <v>-23922</v>
      </c>
      <c r="G53" s="275">
        <f t="shared" si="21"/>
        <v>-23928.3</v>
      </c>
      <c r="H53" s="275">
        <f t="shared" si="21"/>
        <v>-23928.3</v>
      </c>
      <c r="I53" s="275">
        <f t="shared" si="21"/>
        <v>-23928.3</v>
      </c>
      <c r="J53" s="275">
        <f t="shared" si="21"/>
        <v>-25968.3</v>
      </c>
      <c r="K53" s="275">
        <f t="shared" si="21"/>
        <v>-17468.3</v>
      </c>
      <c r="L53" s="275">
        <f t="shared" si="21"/>
        <v>-8968.2999999999993</v>
      </c>
      <c r="M53" s="275">
        <f t="shared" si="21"/>
        <v>-2508.2999999999993</v>
      </c>
      <c r="N53" s="275">
        <f t="shared" si="21"/>
        <v>5991.7000000000007</v>
      </c>
      <c r="O53" s="275">
        <f t="shared" si="21"/>
        <v>14491.7</v>
      </c>
      <c r="P53" s="275">
        <f t="shared" si="21"/>
        <v>20951.7</v>
      </c>
      <c r="Q53" s="275">
        <f t="shared" si="21"/>
        <v>29451.7</v>
      </c>
      <c r="R53" s="275">
        <f t="shared" si="21"/>
        <v>37951.699999999997</v>
      </c>
      <c r="S53" s="275">
        <f t="shared" si="21"/>
        <v>44411.7</v>
      </c>
      <c r="T53" s="275">
        <f t="shared" si="21"/>
        <v>52911.7</v>
      </c>
      <c r="U53" s="275">
        <f t="shared" si="21"/>
        <v>61411.7</v>
      </c>
      <c r="V53" s="275">
        <f t="shared" si="21"/>
        <v>69911.7</v>
      </c>
      <c r="W53" s="276" t="s">
        <v>334</v>
      </c>
      <c r="X53" s="276">
        <f>MIN(B53:V53)</f>
        <v>-25968.3</v>
      </c>
    </row>
    <row r="54" spans="1:25" x14ac:dyDescent="0.25">
      <c r="A54" s="95" t="s">
        <v>330</v>
      </c>
      <c r="B54" s="275">
        <f>B49</f>
        <v>1870000</v>
      </c>
      <c r="C54" s="275">
        <f>B54+C49</f>
        <v>3740000</v>
      </c>
      <c r="D54" s="275">
        <f t="shared" si="21"/>
        <v>5610000</v>
      </c>
      <c r="E54" s="275">
        <f t="shared" si="21"/>
        <v>7480000</v>
      </c>
      <c r="F54" s="275">
        <f t="shared" si="21"/>
        <v>9350000</v>
      </c>
      <c r="G54" s="275">
        <f t="shared" si="21"/>
        <v>11220000</v>
      </c>
      <c r="H54" s="275">
        <f t="shared" si="21"/>
        <v>13090000</v>
      </c>
      <c r="I54" s="275">
        <f t="shared" si="21"/>
        <v>14960000</v>
      </c>
      <c r="J54" s="275">
        <f t="shared" si="21"/>
        <v>16830000</v>
      </c>
      <c r="K54" s="275">
        <f t="shared" si="21"/>
        <v>18751000</v>
      </c>
      <c r="L54" s="275">
        <f t="shared" si="21"/>
        <v>20672000</v>
      </c>
      <c r="M54" s="275">
        <f t="shared" si="21"/>
        <v>22593000</v>
      </c>
      <c r="N54" s="275">
        <f t="shared" si="21"/>
        <v>24514000</v>
      </c>
      <c r="O54" s="275">
        <f t="shared" si="21"/>
        <v>26435000</v>
      </c>
      <c r="P54" s="275">
        <f t="shared" si="21"/>
        <v>28356000</v>
      </c>
      <c r="Q54" s="275">
        <f t="shared" si="21"/>
        <v>30277000</v>
      </c>
      <c r="R54" s="275">
        <f t="shared" si="21"/>
        <v>32198000</v>
      </c>
      <c r="S54" s="275">
        <f t="shared" si="21"/>
        <v>34119000</v>
      </c>
      <c r="T54" s="275">
        <f t="shared" si="21"/>
        <v>36040000</v>
      </c>
      <c r="U54" s="275">
        <f t="shared" si="21"/>
        <v>37961000</v>
      </c>
      <c r="V54" s="275">
        <f t="shared" si="21"/>
        <v>39882000</v>
      </c>
      <c r="W54" s="276" t="s">
        <v>334</v>
      </c>
      <c r="X54" s="276">
        <f>MIN(B54:V54)</f>
        <v>1870000</v>
      </c>
    </row>
    <row r="55" spans="1:25" x14ac:dyDescent="0.25">
      <c r="A55" s="95" t="s">
        <v>331</v>
      </c>
      <c r="B55" s="275">
        <f>B50</f>
        <v>0</v>
      </c>
      <c r="C55" s="275">
        <f>B55+C50</f>
        <v>0</v>
      </c>
      <c r="D55" s="275">
        <f t="shared" si="21"/>
        <v>0</v>
      </c>
      <c r="E55" s="275">
        <f t="shared" si="21"/>
        <v>0</v>
      </c>
      <c r="F55" s="275">
        <f t="shared" si="21"/>
        <v>0</v>
      </c>
      <c r="G55" s="275">
        <f t="shared" si="21"/>
        <v>0</v>
      </c>
      <c r="H55" s="275">
        <f t="shared" si="21"/>
        <v>0</v>
      </c>
      <c r="I55" s="275">
        <f t="shared" si="21"/>
        <v>-800.00000000000011</v>
      </c>
      <c r="J55" s="275">
        <f t="shared" si="21"/>
        <v>439.99999999999989</v>
      </c>
      <c r="K55" s="275">
        <f t="shared" si="21"/>
        <v>439.99999999999989</v>
      </c>
      <c r="L55" s="275">
        <f t="shared" si="21"/>
        <v>-360.00000000000023</v>
      </c>
      <c r="M55" s="275">
        <f t="shared" si="21"/>
        <v>879.99999999999977</v>
      </c>
      <c r="N55" s="275">
        <f t="shared" si="21"/>
        <v>879.99999999999977</v>
      </c>
      <c r="O55" s="275">
        <f t="shared" si="21"/>
        <v>79.999999999999659</v>
      </c>
      <c r="P55" s="275">
        <f t="shared" si="21"/>
        <v>1319.9999999999995</v>
      </c>
      <c r="Q55" s="275">
        <f t="shared" si="21"/>
        <v>1319.9999999999995</v>
      </c>
      <c r="R55" s="275">
        <f t="shared" si="21"/>
        <v>519.99999999999943</v>
      </c>
      <c r="S55" s="275">
        <f t="shared" si="21"/>
        <v>1759.9999999999995</v>
      </c>
      <c r="T55" s="275">
        <f t="shared" si="21"/>
        <v>1759.9999999999995</v>
      </c>
      <c r="U55" s="275">
        <f t="shared" si="21"/>
        <v>1759.9999999999995</v>
      </c>
      <c r="V55" s="275">
        <f t="shared" si="21"/>
        <v>1759.9999999999995</v>
      </c>
      <c r="W55" s="276" t="s">
        <v>334</v>
      </c>
      <c r="X55" s="276">
        <f>MIN(B55:V55)</f>
        <v>-800.00000000000011</v>
      </c>
    </row>
    <row r="56" spans="1:25" x14ac:dyDescent="0.25">
      <c r="A56" s="95" t="s">
        <v>332</v>
      </c>
      <c r="B56" s="275">
        <f>SUM(B53:B55)</f>
        <v>1858000</v>
      </c>
      <c r="C56" s="275">
        <f>B56+SUM(C48:C50)</f>
        <v>3724928</v>
      </c>
      <c r="D56" s="275">
        <f t="shared" ref="D56:S56" si="22">C56+SUM(D48:D50)</f>
        <v>5590531</v>
      </c>
      <c r="E56" s="275">
        <f t="shared" si="22"/>
        <v>7456134</v>
      </c>
      <c r="F56" s="275">
        <f t="shared" si="22"/>
        <v>9326078</v>
      </c>
      <c r="G56" s="275">
        <f t="shared" si="22"/>
        <v>11196071.699999999</v>
      </c>
      <c r="H56" s="275">
        <f t="shared" si="22"/>
        <v>13066071.699999999</v>
      </c>
      <c r="I56" s="275">
        <f t="shared" si="22"/>
        <v>14935271.699999999</v>
      </c>
      <c r="J56" s="275">
        <f t="shared" si="22"/>
        <v>16804471.699999999</v>
      </c>
      <c r="K56" s="275">
        <f t="shared" si="22"/>
        <v>18733971.699999999</v>
      </c>
      <c r="L56" s="275">
        <f t="shared" si="22"/>
        <v>20662671.699999999</v>
      </c>
      <c r="M56" s="275">
        <f t="shared" si="22"/>
        <v>22591371.699999999</v>
      </c>
      <c r="N56" s="275">
        <f t="shared" si="22"/>
        <v>24520871.699999999</v>
      </c>
      <c r="O56" s="275">
        <f t="shared" si="22"/>
        <v>26449571.699999999</v>
      </c>
      <c r="P56" s="275">
        <f t="shared" si="22"/>
        <v>28378271.699999999</v>
      </c>
      <c r="Q56" s="275">
        <f t="shared" si="22"/>
        <v>30307771.699999999</v>
      </c>
      <c r="R56" s="275">
        <f t="shared" si="22"/>
        <v>32236471.699999999</v>
      </c>
      <c r="S56" s="275">
        <f t="shared" si="22"/>
        <v>34165171.700000003</v>
      </c>
      <c r="T56" s="275">
        <f>S56+SUM(T48:T50)</f>
        <v>36094671.700000003</v>
      </c>
      <c r="U56" s="275">
        <f>T56+SUM(U48:U50)</f>
        <v>38024171.700000003</v>
      </c>
      <c r="V56" s="275">
        <f>U56+SUM(V48:V50)</f>
        <v>39953671.700000003</v>
      </c>
      <c r="W56" s="276" t="s">
        <v>334</v>
      </c>
      <c r="X56" s="276">
        <f>MIN(B56:V56)</f>
        <v>1858000</v>
      </c>
    </row>
    <row r="57" spans="1:25" x14ac:dyDescent="0.25">
      <c r="A57" s="95" t="s">
        <v>333</v>
      </c>
      <c r="B57" s="275">
        <f>B51</f>
        <v>1858000</v>
      </c>
      <c r="C57" s="275">
        <f>B57+C51</f>
        <v>3724928</v>
      </c>
      <c r="D57" s="275">
        <f t="shared" ref="D57:V57" si="23">C57+D51</f>
        <v>5590531</v>
      </c>
      <c r="E57" s="275">
        <f t="shared" si="23"/>
        <v>7456134</v>
      </c>
      <c r="F57" s="275">
        <f t="shared" si="23"/>
        <v>9326078</v>
      </c>
      <c r="G57" s="275">
        <f t="shared" si="23"/>
        <v>11196071.699999999</v>
      </c>
      <c r="H57" s="275">
        <f t="shared" si="23"/>
        <v>13066071.699999999</v>
      </c>
      <c r="I57" s="275">
        <f t="shared" si="23"/>
        <v>14935271.699999999</v>
      </c>
      <c r="J57" s="275">
        <f t="shared" si="23"/>
        <v>16804471.699999999</v>
      </c>
      <c r="K57" s="275">
        <f t="shared" si="23"/>
        <v>18733971.699999999</v>
      </c>
      <c r="L57" s="275">
        <f t="shared" si="23"/>
        <v>20662671.699999999</v>
      </c>
      <c r="M57" s="275">
        <f t="shared" si="23"/>
        <v>22591371.699999999</v>
      </c>
      <c r="N57" s="275">
        <f t="shared" si="23"/>
        <v>24520871.699999999</v>
      </c>
      <c r="O57" s="275">
        <f t="shared" si="23"/>
        <v>26449571.699999999</v>
      </c>
      <c r="P57" s="275">
        <f t="shared" si="23"/>
        <v>28378271.699999999</v>
      </c>
      <c r="Q57" s="275">
        <f t="shared" si="23"/>
        <v>30307771.699999999</v>
      </c>
      <c r="R57" s="275">
        <f t="shared" si="23"/>
        <v>32236471.699999999</v>
      </c>
      <c r="S57" s="275">
        <f t="shared" si="23"/>
        <v>34165171.700000003</v>
      </c>
      <c r="T57" s="275">
        <f t="shared" si="23"/>
        <v>36094671.700000003</v>
      </c>
      <c r="U57" s="275">
        <f t="shared" si="23"/>
        <v>38024171.700000003</v>
      </c>
      <c r="V57" s="275">
        <f t="shared" si="23"/>
        <v>39953671.700000003</v>
      </c>
      <c r="W57" s="276" t="s">
        <v>334</v>
      </c>
      <c r="X57" s="276">
        <f>MIN(B57:V57)</f>
        <v>1858000</v>
      </c>
    </row>
    <row r="58" spans="1:25" s="284" customFormat="1" x14ac:dyDescent="0.25">
      <c r="A58" s="281" t="s">
        <v>347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3"/>
      <c r="X58" s="283"/>
      <c r="Y58" s="47"/>
    </row>
    <row r="59" spans="1:25" x14ac:dyDescent="0.25">
      <c r="A59" s="278" t="s">
        <v>342</v>
      </c>
      <c r="B59" s="64">
        <f t="shared" ref="B59:Q62" si="24">IF(AND(B53&lt;0,C53&gt;0),B$2+(-B53/(-B53+C53)),0)</f>
        <v>0</v>
      </c>
      <c r="C59" s="64">
        <f t="shared" si="24"/>
        <v>0</v>
      </c>
      <c r="D59" s="64">
        <f t="shared" si="24"/>
        <v>0</v>
      </c>
      <c r="E59" s="64">
        <f t="shared" si="24"/>
        <v>0</v>
      </c>
      <c r="F59" s="64">
        <f t="shared" si="24"/>
        <v>0</v>
      </c>
      <c r="G59" s="64">
        <f t="shared" si="24"/>
        <v>0</v>
      </c>
      <c r="H59" s="64">
        <f t="shared" si="24"/>
        <v>0</v>
      </c>
      <c r="I59" s="64">
        <f t="shared" si="24"/>
        <v>0</v>
      </c>
      <c r="J59" s="64">
        <f t="shared" si="24"/>
        <v>0</v>
      </c>
      <c r="K59" s="64">
        <f t="shared" si="24"/>
        <v>0</v>
      </c>
      <c r="L59" s="64">
        <f t="shared" si="24"/>
        <v>0</v>
      </c>
      <c r="M59" s="64">
        <f>IF(AND(M53&lt;0,N53&gt;0),M$2+(-M53/(-M53+N53)),0)</f>
        <v>12.295094117647059</v>
      </c>
      <c r="N59" s="64">
        <f t="shared" ref="N59:S62" si="25">IF(AND(N53&lt;0,O53&gt;0),N$2+(-N53/(-N53+O53)),0)</f>
        <v>0</v>
      </c>
      <c r="O59" s="64">
        <f t="shared" si="25"/>
        <v>0</v>
      </c>
      <c r="P59" s="64">
        <f t="shared" si="25"/>
        <v>0</v>
      </c>
      <c r="Q59" s="64">
        <f t="shared" si="25"/>
        <v>0</v>
      </c>
      <c r="R59" s="64">
        <f t="shared" si="25"/>
        <v>0</v>
      </c>
      <c r="S59" s="64">
        <f t="shared" si="25"/>
        <v>0</v>
      </c>
      <c r="T59" s="64">
        <f t="shared" ref="T59:V62" si="26">IF(AND(T53&lt;0,V53&gt;0),T$2+(-T53/(-T53+V53)),0)</f>
        <v>0</v>
      </c>
      <c r="U59" s="64">
        <f t="shared" si="26"/>
        <v>0</v>
      </c>
      <c r="V59" s="64">
        <f t="shared" si="26"/>
        <v>0</v>
      </c>
      <c r="W59" s="279" t="s">
        <v>346</v>
      </c>
      <c r="X59" s="280">
        <f>MAX(B59:V59)</f>
        <v>12.295094117647059</v>
      </c>
    </row>
    <row r="60" spans="1:25" x14ac:dyDescent="0.25">
      <c r="A60" s="278" t="s">
        <v>343</v>
      </c>
      <c r="B60" s="64">
        <f t="shared" si="24"/>
        <v>0</v>
      </c>
      <c r="C60" s="64">
        <f t="shared" si="24"/>
        <v>0</v>
      </c>
      <c r="D60" s="64">
        <f t="shared" si="24"/>
        <v>0</v>
      </c>
      <c r="E60" s="64">
        <f t="shared" si="24"/>
        <v>0</v>
      </c>
      <c r="F60" s="64">
        <f t="shared" si="24"/>
        <v>0</v>
      </c>
      <c r="G60" s="64">
        <f t="shared" si="24"/>
        <v>0</v>
      </c>
      <c r="H60" s="64">
        <f t="shared" si="24"/>
        <v>0</v>
      </c>
      <c r="I60" s="64">
        <f t="shared" si="24"/>
        <v>0</v>
      </c>
      <c r="J60" s="64">
        <f t="shared" si="24"/>
        <v>0</v>
      </c>
      <c r="K60" s="64">
        <f t="shared" si="24"/>
        <v>0</v>
      </c>
      <c r="L60" s="64">
        <f t="shared" si="24"/>
        <v>0</v>
      </c>
      <c r="M60" s="64">
        <f t="shared" si="24"/>
        <v>0</v>
      </c>
      <c r="N60" s="64">
        <f t="shared" si="24"/>
        <v>0</v>
      </c>
      <c r="O60" s="64">
        <f t="shared" si="24"/>
        <v>0</v>
      </c>
      <c r="P60" s="64">
        <f t="shared" si="24"/>
        <v>0</v>
      </c>
      <c r="Q60" s="64">
        <f t="shared" si="24"/>
        <v>0</v>
      </c>
      <c r="R60" s="64">
        <f t="shared" si="25"/>
        <v>0</v>
      </c>
      <c r="S60" s="64">
        <f t="shared" si="25"/>
        <v>0</v>
      </c>
      <c r="T60" s="64">
        <f t="shared" si="26"/>
        <v>0</v>
      </c>
      <c r="U60" s="64">
        <f t="shared" si="26"/>
        <v>0</v>
      </c>
      <c r="V60" s="64">
        <f t="shared" si="26"/>
        <v>0</v>
      </c>
      <c r="W60" s="279" t="s">
        <v>346</v>
      </c>
      <c r="X60" s="280">
        <f>MAX(B60:V60)</f>
        <v>0</v>
      </c>
    </row>
    <row r="61" spans="1:25" x14ac:dyDescent="0.25">
      <c r="A61" s="278" t="s">
        <v>344</v>
      </c>
      <c r="B61" s="64">
        <f t="shared" si="24"/>
        <v>0</v>
      </c>
      <c r="C61" s="64">
        <f t="shared" si="24"/>
        <v>0</v>
      </c>
      <c r="D61" s="64">
        <f t="shared" si="24"/>
        <v>0</v>
      </c>
      <c r="E61" s="64">
        <f t="shared" si="24"/>
        <v>0</v>
      </c>
      <c r="F61" s="64">
        <f t="shared" si="24"/>
        <v>0</v>
      </c>
      <c r="G61" s="64">
        <f t="shared" si="24"/>
        <v>0</v>
      </c>
      <c r="H61" s="64">
        <f t="shared" si="24"/>
        <v>0</v>
      </c>
      <c r="I61" s="64">
        <f t="shared" si="24"/>
        <v>8.6451612903225801</v>
      </c>
      <c r="J61" s="64">
        <f t="shared" si="24"/>
        <v>0</v>
      </c>
      <c r="K61" s="64">
        <f t="shared" si="24"/>
        <v>0</v>
      </c>
      <c r="L61" s="64">
        <f t="shared" si="24"/>
        <v>11.290322580645162</v>
      </c>
      <c r="M61" s="64">
        <f t="shared" si="24"/>
        <v>0</v>
      </c>
      <c r="N61" s="64">
        <f t="shared" si="24"/>
        <v>0</v>
      </c>
      <c r="O61" s="64">
        <f t="shared" si="24"/>
        <v>0</v>
      </c>
      <c r="P61" s="64">
        <f t="shared" si="24"/>
        <v>0</v>
      </c>
      <c r="Q61" s="64">
        <f t="shared" si="24"/>
        <v>0</v>
      </c>
      <c r="R61" s="64">
        <f t="shared" si="25"/>
        <v>0</v>
      </c>
      <c r="S61" s="64">
        <f t="shared" si="25"/>
        <v>0</v>
      </c>
      <c r="T61" s="64">
        <f t="shared" si="26"/>
        <v>0</v>
      </c>
      <c r="U61" s="64">
        <f t="shared" si="26"/>
        <v>0</v>
      </c>
      <c r="V61" s="64">
        <f t="shared" si="26"/>
        <v>0</v>
      </c>
      <c r="W61" s="279" t="s">
        <v>346</v>
      </c>
      <c r="X61" s="280">
        <f>MAX(B61:V61)</f>
        <v>11.290322580645162</v>
      </c>
    </row>
    <row r="62" spans="1:25" x14ac:dyDescent="0.25">
      <c r="A62" s="278" t="s">
        <v>345</v>
      </c>
      <c r="B62" s="64">
        <f t="shared" si="24"/>
        <v>0</v>
      </c>
      <c r="C62" s="64">
        <f t="shared" si="24"/>
        <v>0</v>
      </c>
      <c r="D62" s="64">
        <f t="shared" si="24"/>
        <v>0</v>
      </c>
      <c r="E62" s="64">
        <f t="shared" si="24"/>
        <v>0</v>
      </c>
      <c r="F62" s="64">
        <f t="shared" si="24"/>
        <v>0</v>
      </c>
      <c r="G62" s="64">
        <f t="shared" si="24"/>
        <v>0</v>
      </c>
      <c r="H62" s="64">
        <f t="shared" si="24"/>
        <v>0</v>
      </c>
      <c r="I62" s="64">
        <f t="shared" si="24"/>
        <v>0</v>
      </c>
      <c r="J62" s="64">
        <f t="shared" si="24"/>
        <v>0</v>
      </c>
      <c r="K62" s="64">
        <f t="shared" si="24"/>
        <v>0</v>
      </c>
      <c r="L62" s="64">
        <f t="shared" si="24"/>
        <v>0</v>
      </c>
      <c r="M62" s="64">
        <f t="shared" si="24"/>
        <v>0</v>
      </c>
      <c r="N62" s="64">
        <f t="shared" si="24"/>
        <v>0</v>
      </c>
      <c r="O62" s="64">
        <f t="shared" si="24"/>
        <v>0</v>
      </c>
      <c r="P62" s="64">
        <f t="shared" si="24"/>
        <v>0</v>
      </c>
      <c r="Q62" s="64">
        <f t="shared" si="24"/>
        <v>0</v>
      </c>
      <c r="R62" s="64">
        <f t="shared" si="25"/>
        <v>0</v>
      </c>
      <c r="S62" s="64">
        <f t="shared" si="25"/>
        <v>0</v>
      </c>
      <c r="T62" s="64">
        <f t="shared" si="26"/>
        <v>0</v>
      </c>
      <c r="U62" s="64">
        <f t="shared" si="26"/>
        <v>0</v>
      </c>
      <c r="V62" s="64">
        <f t="shared" si="26"/>
        <v>0</v>
      </c>
      <c r="W62" s="279" t="s">
        <v>346</v>
      </c>
      <c r="X62" s="280">
        <f>MAX(B62:V62)</f>
        <v>0</v>
      </c>
    </row>
    <row r="63" spans="1:25" x14ac:dyDescent="0.25">
      <c r="A63" t="s">
        <v>319</v>
      </c>
    </row>
    <row r="64" spans="1:25" x14ac:dyDescent="0.25">
      <c r="A64" t="s">
        <v>320</v>
      </c>
      <c r="B64" s="215">
        <f t="shared" ref="B64:V66" si="27">B48-B19</f>
        <v>-7603</v>
      </c>
      <c r="C64" s="215">
        <f t="shared" si="27"/>
        <v>1325</v>
      </c>
      <c r="D64" s="215">
        <f t="shared" si="27"/>
        <v>0</v>
      </c>
      <c r="E64" s="215">
        <f t="shared" si="27"/>
        <v>0</v>
      </c>
      <c r="F64" s="215">
        <f t="shared" si="27"/>
        <v>4341</v>
      </c>
      <c r="G64" s="215">
        <f t="shared" si="27"/>
        <v>4390.7</v>
      </c>
      <c r="H64" s="215">
        <f t="shared" si="27"/>
        <v>4397</v>
      </c>
      <c r="I64" s="215">
        <f t="shared" si="27"/>
        <v>4397</v>
      </c>
      <c r="J64" s="215">
        <f t="shared" si="27"/>
        <v>2357</v>
      </c>
      <c r="K64" s="215">
        <f t="shared" si="27"/>
        <v>12897</v>
      </c>
      <c r="L64" s="215">
        <f t="shared" si="27"/>
        <v>12897</v>
      </c>
      <c r="M64" s="215">
        <f t="shared" si="27"/>
        <v>10857</v>
      </c>
      <c r="N64" s="215">
        <f t="shared" si="27"/>
        <v>11988</v>
      </c>
      <c r="O64" s="215">
        <f t="shared" si="27"/>
        <v>11988</v>
      </c>
      <c r="P64" s="215">
        <f t="shared" si="27"/>
        <v>6466.3</v>
      </c>
      <c r="Q64" s="215">
        <f t="shared" si="27"/>
        <v>8500</v>
      </c>
      <c r="R64" s="215">
        <f t="shared" si="27"/>
        <v>8500</v>
      </c>
      <c r="S64" s="215">
        <f t="shared" si="27"/>
        <v>8500</v>
      </c>
      <c r="T64" s="215">
        <f t="shared" si="27"/>
        <v>0</v>
      </c>
      <c r="U64" s="215">
        <f t="shared" si="27"/>
        <v>0</v>
      </c>
      <c r="V64" s="215">
        <f t="shared" si="27"/>
        <v>0</v>
      </c>
      <c r="W64" s="189">
        <f>SUM(B64:V64)</f>
        <v>106198</v>
      </c>
      <c r="X64" s="189">
        <f>NPV('1сел'!$X$1,B64:V64)</f>
        <v>82086.987473545305</v>
      </c>
    </row>
    <row r="65" spans="1:25" x14ac:dyDescent="0.25">
      <c r="A65" t="s">
        <v>321</v>
      </c>
      <c r="B65">
        <f t="shared" si="27"/>
        <v>0</v>
      </c>
      <c r="C65">
        <f t="shared" si="27"/>
        <v>0</v>
      </c>
      <c r="D65">
        <f t="shared" si="27"/>
        <v>0</v>
      </c>
      <c r="E65">
        <f t="shared" si="27"/>
        <v>0</v>
      </c>
      <c r="F65">
        <f t="shared" si="27"/>
        <v>0</v>
      </c>
      <c r="G65">
        <f t="shared" si="27"/>
        <v>0</v>
      </c>
      <c r="H65">
        <f t="shared" si="27"/>
        <v>0</v>
      </c>
      <c r="I65">
        <f t="shared" si="27"/>
        <v>0</v>
      </c>
      <c r="J65">
        <f t="shared" si="27"/>
        <v>0</v>
      </c>
      <c r="K65">
        <f t="shared" si="27"/>
        <v>51000</v>
      </c>
      <c r="L65">
        <f t="shared" si="27"/>
        <v>51000</v>
      </c>
      <c r="M65">
        <f t="shared" si="27"/>
        <v>51000</v>
      </c>
      <c r="N65">
        <f t="shared" si="27"/>
        <v>51000</v>
      </c>
      <c r="O65">
        <f t="shared" si="27"/>
        <v>51000</v>
      </c>
      <c r="P65">
        <f t="shared" si="27"/>
        <v>51000</v>
      </c>
      <c r="Q65">
        <f t="shared" si="27"/>
        <v>51000</v>
      </c>
      <c r="R65">
        <f t="shared" si="27"/>
        <v>51000</v>
      </c>
      <c r="S65">
        <f t="shared" si="27"/>
        <v>51000</v>
      </c>
      <c r="T65">
        <f t="shared" si="27"/>
        <v>0</v>
      </c>
      <c r="U65">
        <f t="shared" si="27"/>
        <v>0</v>
      </c>
      <c r="V65">
        <f t="shared" si="27"/>
        <v>0</v>
      </c>
      <c r="W65" s="189">
        <f>SUM(B65:V65)</f>
        <v>459000</v>
      </c>
      <c r="X65" s="431">
        <f>NPV('1сел'!$X$1,B65:V65)</f>
        <v>348319.52181293961</v>
      </c>
    </row>
    <row r="66" spans="1:25" x14ac:dyDescent="0.25">
      <c r="A66" t="s">
        <v>322</v>
      </c>
      <c r="B66" s="215">
        <f t="shared" si="27"/>
        <v>0</v>
      </c>
      <c r="C66" s="215">
        <f t="shared" si="27"/>
        <v>0</v>
      </c>
      <c r="D66" s="215">
        <f t="shared" si="27"/>
        <v>0</v>
      </c>
      <c r="E66" s="215">
        <f t="shared" si="27"/>
        <v>0</v>
      </c>
      <c r="F66" s="215">
        <f t="shared" si="27"/>
        <v>0</v>
      </c>
      <c r="G66" s="215">
        <f t="shared" si="27"/>
        <v>0</v>
      </c>
      <c r="H66" s="215">
        <f t="shared" si="27"/>
        <v>0</v>
      </c>
      <c r="I66" s="215">
        <f t="shared" si="27"/>
        <v>-800.00000000000011</v>
      </c>
      <c r="J66" s="215">
        <f t="shared" si="27"/>
        <v>1240</v>
      </c>
      <c r="K66" s="215">
        <f t="shared" si="27"/>
        <v>0</v>
      </c>
      <c r="L66" s="215">
        <f t="shared" si="27"/>
        <v>-800.00000000000011</v>
      </c>
      <c r="M66" s="215">
        <f t="shared" si="27"/>
        <v>1240</v>
      </c>
      <c r="N66" s="215">
        <f t="shared" si="27"/>
        <v>0</v>
      </c>
      <c r="O66" s="215">
        <f t="shared" si="27"/>
        <v>-800.00000000000011</v>
      </c>
      <c r="P66" s="215">
        <f t="shared" si="27"/>
        <v>1240</v>
      </c>
      <c r="Q66" s="215">
        <f t="shared" si="27"/>
        <v>0</v>
      </c>
      <c r="R66" s="215">
        <f t="shared" si="27"/>
        <v>0</v>
      </c>
      <c r="S66" s="215">
        <f t="shared" si="27"/>
        <v>0</v>
      </c>
      <c r="T66" s="215">
        <f t="shared" si="27"/>
        <v>0</v>
      </c>
      <c r="U66" s="215">
        <f t="shared" si="27"/>
        <v>0</v>
      </c>
      <c r="V66" s="215">
        <f t="shared" si="27"/>
        <v>0</v>
      </c>
      <c r="W66" s="189">
        <f>SUM(B66:V66)</f>
        <v>1319.9999999999995</v>
      </c>
      <c r="X66" s="189">
        <f>NPV('1сел'!$X$1,B66:V66)</f>
        <v>1004.143584691761</v>
      </c>
    </row>
    <row r="67" spans="1:25" x14ac:dyDescent="0.25">
      <c r="A67" s="145" t="s">
        <v>419</v>
      </c>
      <c r="B67" s="215">
        <f>SUM(B64:B66)</f>
        <v>-7603</v>
      </c>
      <c r="C67" s="215">
        <f t="shared" ref="C67:V67" si="28">SUM(C64:C66)</f>
        <v>1325</v>
      </c>
      <c r="D67" s="215">
        <f t="shared" si="28"/>
        <v>0</v>
      </c>
      <c r="E67" s="215">
        <f t="shared" si="28"/>
        <v>0</v>
      </c>
      <c r="F67" s="215">
        <f t="shared" si="28"/>
        <v>4341</v>
      </c>
      <c r="G67" s="215">
        <f t="shared" si="28"/>
        <v>4390.7</v>
      </c>
      <c r="H67" s="215">
        <f t="shared" si="28"/>
        <v>4397</v>
      </c>
      <c r="I67" s="215">
        <f t="shared" si="28"/>
        <v>3597</v>
      </c>
      <c r="J67" s="215">
        <f t="shared" si="28"/>
        <v>3597</v>
      </c>
      <c r="K67" s="215">
        <f t="shared" si="28"/>
        <v>63897</v>
      </c>
      <c r="L67" s="215">
        <f t="shared" si="28"/>
        <v>63097</v>
      </c>
      <c r="M67" s="215">
        <f t="shared" si="28"/>
        <v>63097</v>
      </c>
      <c r="N67" s="215">
        <f t="shared" si="28"/>
        <v>62988</v>
      </c>
      <c r="O67" s="215">
        <f t="shared" si="28"/>
        <v>62188</v>
      </c>
      <c r="P67" s="215">
        <f t="shared" si="28"/>
        <v>58706.3</v>
      </c>
      <c r="Q67" s="215">
        <f t="shared" si="28"/>
        <v>59500</v>
      </c>
      <c r="R67" s="215">
        <f t="shared" si="28"/>
        <v>59500</v>
      </c>
      <c r="S67" s="215">
        <f t="shared" si="28"/>
        <v>59500</v>
      </c>
      <c r="T67" s="215">
        <f t="shared" si="28"/>
        <v>0</v>
      </c>
      <c r="U67" s="215">
        <f t="shared" si="28"/>
        <v>0</v>
      </c>
      <c r="V67" s="215">
        <f t="shared" si="28"/>
        <v>0</v>
      </c>
      <c r="W67" s="189">
        <f>SUM(B67:V67)</f>
        <v>566518</v>
      </c>
      <c r="X67" s="431">
        <f>NPV('1сел'!$X$1,B67:V67)</f>
        <v>431410.6528711766</v>
      </c>
    </row>
    <row r="68" spans="1:25" x14ac:dyDescent="0.25">
      <c r="A68" t="s">
        <v>420</v>
      </c>
    </row>
    <row r="69" spans="1:25" x14ac:dyDescent="0.25">
      <c r="A69" t="s">
        <v>320</v>
      </c>
      <c r="B69" s="215">
        <f>'1сел'!B38</f>
        <v>-7603</v>
      </c>
      <c r="C69" s="215">
        <f>'1сел'!C38</f>
        <v>1325</v>
      </c>
      <c r="D69" s="215">
        <f>'1сел'!D38</f>
        <v>0</v>
      </c>
      <c r="E69" s="215">
        <f>'1сел'!E38</f>
        <v>0</v>
      </c>
      <c r="F69" s="215">
        <f>'1сел'!F38</f>
        <v>4341</v>
      </c>
      <c r="G69" s="215">
        <f>'1сел'!G38</f>
        <v>4390.7</v>
      </c>
      <c r="H69" s="215">
        <f>'1сел'!H38</f>
        <v>4397</v>
      </c>
      <c r="I69" s="215">
        <f>'1сел'!I38</f>
        <v>4397</v>
      </c>
      <c r="J69" s="215">
        <f>'1сел'!J38</f>
        <v>2357</v>
      </c>
      <c r="K69" s="215">
        <f>'1сел'!K38</f>
        <v>12897</v>
      </c>
      <c r="L69" s="215">
        <f>'1сел'!L38</f>
        <v>12897</v>
      </c>
      <c r="M69" s="215">
        <f>'1сел'!M38</f>
        <v>10857</v>
      </c>
      <c r="N69" s="215">
        <f>'1сел'!N38</f>
        <v>11988</v>
      </c>
      <c r="O69" s="215">
        <f>'1сел'!O38</f>
        <v>11988</v>
      </c>
      <c r="P69" s="215">
        <f>'1сел'!P38</f>
        <v>6466.3</v>
      </c>
      <c r="Q69" s="215">
        <f>'1сел'!Q38</f>
        <v>8500</v>
      </c>
      <c r="R69" s="215">
        <f>'1сел'!R38</f>
        <v>8500</v>
      </c>
      <c r="S69" s="215">
        <f>'1сел'!S38</f>
        <v>8500</v>
      </c>
      <c r="T69" s="215">
        <f>'1сел'!T38</f>
        <v>0</v>
      </c>
      <c r="U69" s="215">
        <f>'1сел'!U38</f>
        <v>0</v>
      </c>
      <c r="V69" s="215">
        <f>'1сел'!V38</f>
        <v>0</v>
      </c>
      <c r="W69" s="189">
        <f>SUM(B69:V69)</f>
        <v>106198</v>
      </c>
      <c r="X69" s="189">
        <f>NPV('1сел'!$X$1,B69:V69)</f>
        <v>82086.987473545305</v>
      </c>
    </row>
    <row r="70" spans="1:25" x14ac:dyDescent="0.25">
      <c r="A70" t="s">
        <v>321</v>
      </c>
      <c r="B70" s="215">
        <f>'3товар'!B26*1000</f>
        <v>0</v>
      </c>
      <c r="C70" s="215">
        <f>'3товар'!C26*1000</f>
        <v>0</v>
      </c>
      <c r="D70" s="215">
        <f>'3товар'!D26*1000</f>
        <v>0</v>
      </c>
      <c r="E70" s="215">
        <f>'3товар'!E26*1000</f>
        <v>0</v>
      </c>
      <c r="F70" s="215">
        <f>'3товар'!F26*1000</f>
        <v>0</v>
      </c>
      <c r="G70" s="215">
        <f>'3товар'!G26*1000</f>
        <v>0</v>
      </c>
      <c r="H70" s="215">
        <f>'3товар'!H26*1000</f>
        <v>0</v>
      </c>
      <c r="I70" s="215">
        <f>'3товар'!I26*1000</f>
        <v>0</v>
      </c>
      <c r="J70" s="215">
        <f>'3товар'!J26*1000</f>
        <v>0</v>
      </c>
      <c r="K70" s="215">
        <f>'3товар'!K26*1000</f>
        <v>51000</v>
      </c>
      <c r="L70" s="215">
        <f>'3товар'!L26*1000</f>
        <v>51000</v>
      </c>
      <c r="M70" s="215">
        <f>'3товар'!M26*1000</f>
        <v>51000</v>
      </c>
      <c r="N70" s="215">
        <f>'3товар'!N26*1000</f>
        <v>51000</v>
      </c>
      <c r="O70" s="215">
        <f>'3товар'!O26*1000</f>
        <v>51000</v>
      </c>
      <c r="P70" s="215">
        <f>'3товар'!P26*1000</f>
        <v>51000</v>
      </c>
      <c r="Q70" s="215">
        <f>'3товар'!Q26*1000</f>
        <v>51000</v>
      </c>
      <c r="R70" s="215">
        <f>'3товар'!R26*1000</f>
        <v>51000</v>
      </c>
      <c r="S70" s="215">
        <f>'3товар'!S26*1000</f>
        <v>51000</v>
      </c>
      <c r="T70" s="215">
        <f>'3товар'!T26*1000</f>
        <v>0</v>
      </c>
      <c r="U70" s="215">
        <f>'3товар'!U26*1000</f>
        <v>0</v>
      </c>
      <c r="V70" s="215">
        <f>'3товар'!V26*1000</f>
        <v>0</v>
      </c>
      <c r="W70" s="189">
        <f>SUM(B70:V70)</f>
        <v>459000</v>
      </c>
      <c r="X70" s="189">
        <f>NPV('1сел'!$X$1,B70:V70)</f>
        <v>348319.52181293961</v>
      </c>
    </row>
    <row r="71" spans="1:25" x14ac:dyDescent="0.25">
      <c r="A71" t="s">
        <v>322</v>
      </c>
      <c r="B71" s="215">
        <f>'2сем'!B38</f>
        <v>0</v>
      </c>
      <c r="C71" s="215">
        <f>'2сем'!C38</f>
        <v>0</v>
      </c>
      <c r="D71" s="215">
        <f>'2сем'!D38</f>
        <v>0</v>
      </c>
      <c r="E71" s="215">
        <f>'2сем'!E38</f>
        <v>0</v>
      </c>
      <c r="F71" s="215">
        <f>'2сем'!F38</f>
        <v>0</v>
      </c>
      <c r="G71" s="215">
        <f>'2сем'!G38</f>
        <v>0</v>
      </c>
      <c r="H71" s="215">
        <f>'2сем'!H38</f>
        <v>0</v>
      </c>
      <c r="I71" s="215">
        <f>'2сем'!I38</f>
        <v>-800.00000000000011</v>
      </c>
      <c r="J71" s="215">
        <f>'2сем'!J38</f>
        <v>1240</v>
      </c>
      <c r="K71" s="215">
        <f>'2сем'!K38</f>
        <v>0</v>
      </c>
      <c r="L71" s="215">
        <f>'2сем'!L38</f>
        <v>-800.00000000000011</v>
      </c>
      <c r="M71" s="215">
        <f>'2сем'!M38</f>
        <v>1240</v>
      </c>
      <c r="N71" s="215">
        <f>'2сем'!N38</f>
        <v>0</v>
      </c>
      <c r="O71" s="215">
        <f>'2сем'!O38</f>
        <v>-800.00000000000011</v>
      </c>
      <c r="P71" s="215">
        <f>'2сем'!P38</f>
        <v>1240</v>
      </c>
      <c r="Q71" s="215">
        <f>'2сем'!Q38</f>
        <v>0</v>
      </c>
      <c r="R71" s="215">
        <f>'2сем'!R38</f>
        <v>0</v>
      </c>
      <c r="S71" s="215">
        <f>'2сем'!S38</f>
        <v>0</v>
      </c>
      <c r="T71" s="215">
        <f>'2сем'!T38</f>
        <v>0</v>
      </c>
      <c r="U71" s="215">
        <f>'2сем'!U38</f>
        <v>0</v>
      </c>
      <c r="V71" s="215">
        <f>'2сем'!V38</f>
        <v>0</v>
      </c>
      <c r="W71" s="189">
        <f>SUM(B71:V71)</f>
        <v>1319.9999999999995</v>
      </c>
      <c r="X71" s="189">
        <f>NPV('1сел'!$X$1,B71:V71)</f>
        <v>1004.143584691761</v>
      </c>
    </row>
    <row r="72" spans="1:25" x14ac:dyDescent="0.25">
      <c r="A72" s="299" t="s">
        <v>325</v>
      </c>
      <c r="B72" s="419">
        <f>SUM(B64:B66)</f>
        <v>-7603</v>
      </c>
      <c r="C72" s="215">
        <f t="shared" ref="C72:V72" si="29">SUM(C69:C71)</f>
        <v>1325</v>
      </c>
      <c r="D72" s="215">
        <f t="shared" si="29"/>
        <v>0</v>
      </c>
      <c r="E72" s="215">
        <f t="shared" si="29"/>
        <v>0</v>
      </c>
      <c r="F72" s="215">
        <f t="shared" si="29"/>
        <v>4341</v>
      </c>
      <c r="G72" s="215">
        <f t="shared" si="29"/>
        <v>4390.7</v>
      </c>
      <c r="H72" s="215">
        <f t="shared" si="29"/>
        <v>4397</v>
      </c>
      <c r="I72" s="215">
        <f t="shared" si="29"/>
        <v>3597</v>
      </c>
      <c r="J72" s="215">
        <f t="shared" si="29"/>
        <v>3597</v>
      </c>
      <c r="K72" s="215">
        <f t="shared" si="29"/>
        <v>63897</v>
      </c>
      <c r="L72" s="215">
        <f t="shared" si="29"/>
        <v>63097</v>
      </c>
      <c r="M72" s="215">
        <f t="shared" si="29"/>
        <v>63097</v>
      </c>
      <c r="N72" s="215">
        <f t="shared" si="29"/>
        <v>62988</v>
      </c>
      <c r="O72" s="215">
        <f t="shared" si="29"/>
        <v>62188</v>
      </c>
      <c r="P72" s="215">
        <f t="shared" si="29"/>
        <v>58706.3</v>
      </c>
      <c r="Q72" s="215">
        <f t="shared" si="29"/>
        <v>59500</v>
      </c>
      <c r="R72" s="215">
        <f t="shared" si="29"/>
        <v>59500</v>
      </c>
      <c r="S72" s="215">
        <f t="shared" si="29"/>
        <v>59500</v>
      </c>
      <c r="T72" s="215">
        <f t="shared" si="29"/>
        <v>0</v>
      </c>
      <c r="U72" s="215">
        <f t="shared" si="29"/>
        <v>0</v>
      </c>
      <c r="V72" s="215">
        <f t="shared" si="29"/>
        <v>0</v>
      </c>
      <c r="W72" s="189">
        <f>SUM(B72:V72)</f>
        <v>566518</v>
      </c>
      <c r="X72" s="277">
        <f>NPV('1сел'!$X$1,B72:V72)</f>
        <v>431410.6528711766</v>
      </c>
    </row>
    <row r="73" spans="1:25" s="264" customFormat="1" ht="12.75" x14ac:dyDescent="0.2">
      <c r="A73" s="264" t="s">
        <v>326</v>
      </c>
      <c r="B73" s="266">
        <f>B67-B72</f>
        <v>0</v>
      </c>
      <c r="C73" s="266">
        <f t="shared" ref="C73:V73" si="30">C67-C72</f>
        <v>0</v>
      </c>
      <c r="D73" s="266">
        <f t="shared" si="30"/>
        <v>0</v>
      </c>
      <c r="E73" s="266">
        <f t="shared" si="30"/>
        <v>0</v>
      </c>
      <c r="F73" s="266">
        <f t="shared" si="30"/>
        <v>0</v>
      </c>
      <c r="G73" s="266">
        <f t="shared" si="30"/>
        <v>0</v>
      </c>
      <c r="H73" s="266">
        <f t="shared" si="30"/>
        <v>0</v>
      </c>
      <c r="I73" s="266">
        <f t="shared" si="30"/>
        <v>0</v>
      </c>
      <c r="J73" s="266">
        <f t="shared" si="30"/>
        <v>0</v>
      </c>
      <c r="K73" s="266">
        <f t="shared" si="30"/>
        <v>0</v>
      </c>
      <c r="L73" s="266">
        <f t="shared" si="30"/>
        <v>0</v>
      </c>
      <c r="M73" s="266">
        <f t="shared" si="30"/>
        <v>0</v>
      </c>
      <c r="N73" s="266">
        <f t="shared" si="30"/>
        <v>0</v>
      </c>
      <c r="O73" s="266">
        <f t="shared" si="30"/>
        <v>0</v>
      </c>
      <c r="P73" s="266">
        <f t="shared" si="30"/>
        <v>0</v>
      </c>
      <c r="Q73" s="266">
        <f t="shared" si="30"/>
        <v>0</v>
      </c>
      <c r="R73" s="266">
        <f t="shared" si="30"/>
        <v>0</v>
      </c>
      <c r="S73" s="266">
        <f t="shared" si="30"/>
        <v>0</v>
      </c>
      <c r="T73" s="266">
        <f t="shared" si="30"/>
        <v>0</v>
      </c>
      <c r="U73" s="266">
        <f t="shared" si="30"/>
        <v>0</v>
      </c>
      <c r="V73" s="266">
        <f t="shared" si="30"/>
        <v>0</v>
      </c>
      <c r="W73" s="265"/>
      <c r="X73" s="265"/>
      <c r="Y73" s="265"/>
    </row>
    <row r="74" spans="1:25" s="72" customFormat="1" ht="11.25" x14ac:dyDescent="0.2">
      <c r="A74" s="72" t="s">
        <v>350</v>
      </c>
      <c r="B74" s="288">
        <f>(1+'1сел'!$X$1)^B$2</f>
        <v>1.02</v>
      </c>
      <c r="C74" s="288">
        <f>(1+'1сел'!$X$1)^C$2</f>
        <v>1.0404</v>
      </c>
      <c r="D74" s="288">
        <f>(1+'1сел'!$X$1)^D$2</f>
        <v>1.0612079999999999</v>
      </c>
      <c r="E74" s="288">
        <f>(1+'1сел'!$X$1)^E$2</f>
        <v>1.08243216</v>
      </c>
      <c r="F74" s="288">
        <f>(1+'1сел'!$X$1)^F$2</f>
        <v>1.1040808032</v>
      </c>
      <c r="G74" s="288">
        <f>(1+'1сел'!$X$1)^G$2</f>
        <v>1.1261624192640001</v>
      </c>
      <c r="H74" s="288">
        <f>(1+'1сел'!$X$1)^H$2</f>
        <v>1.1486856676492798</v>
      </c>
      <c r="I74" s="288">
        <f>(1+'1сел'!$X$1)^I$2</f>
        <v>1.1716593810022655</v>
      </c>
      <c r="J74" s="288">
        <f>(1+'1сел'!$X$1)^J$2</f>
        <v>1.1950925686223108</v>
      </c>
      <c r="K74" s="288">
        <f>(1+'1сел'!$X$1)^K$2</f>
        <v>1.2189944199947571</v>
      </c>
      <c r="L74" s="288">
        <f>(1+'1сел'!$X$1)^L$2</f>
        <v>1.243374308394652</v>
      </c>
      <c r="M74" s="288">
        <f>(1+'1сел'!$X$1)^M$2</f>
        <v>1.2682417945625453</v>
      </c>
      <c r="N74" s="288">
        <f>(1+'1сел'!$X$1)^N$2</f>
        <v>1.2936066304537961</v>
      </c>
      <c r="O74" s="288">
        <f>(1+'1сел'!$X$1)^O$2</f>
        <v>1.3194787630628722</v>
      </c>
      <c r="P74" s="288">
        <f>(1+'1сел'!$X$1)^P$2</f>
        <v>1.3458683383241292</v>
      </c>
      <c r="Q74" s="288">
        <f>(1+'1сел'!$X$1)^Q$2</f>
        <v>1.372785705090612</v>
      </c>
      <c r="R74" s="288">
        <f>(1+'1сел'!$X$1)^R$2</f>
        <v>1.4002414191924244</v>
      </c>
      <c r="S74" s="288">
        <f>(1+'1сел'!$X$1)^S$2</f>
        <v>1.4282462475762727</v>
      </c>
      <c r="T74" s="288">
        <f>(1+'1сел'!$X$1)^T$2</f>
        <v>1.4568111725277981</v>
      </c>
      <c r="U74" s="288">
        <f>(1+'1сел'!$X$1)^U$2</f>
        <v>1.4859473959783542</v>
      </c>
      <c r="V74" s="288">
        <f>(1+'1сел'!$X$1)^V$2</f>
        <v>1.5156663438979212</v>
      </c>
      <c r="W74" s="287"/>
      <c r="X74" s="287"/>
      <c r="Y74" s="287"/>
    </row>
    <row r="75" spans="1:25" s="264" customFormat="1" ht="12.75" x14ac:dyDescent="0.2">
      <c r="A75" s="285" t="s">
        <v>348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5"/>
      <c r="X75" s="265"/>
      <c r="Y75" s="265"/>
    </row>
    <row r="76" spans="1:25" s="264" customFormat="1" ht="18.75" x14ac:dyDescent="0.3">
      <c r="A76" s="264" t="str">
        <f>A69</f>
        <v>Селекционера</v>
      </c>
      <c r="B76" s="289">
        <f>B64/B$74</f>
        <v>-7453.9215686274511</v>
      </c>
      <c r="C76" s="289">
        <f t="shared" ref="C76:V78" si="31">C64/C$74</f>
        <v>1273.5486351403306</v>
      </c>
      <c r="D76" s="289">
        <f t="shared" si="31"/>
        <v>0</v>
      </c>
      <c r="E76" s="289">
        <f t="shared" si="31"/>
        <v>0</v>
      </c>
      <c r="F76" s="289">
        <f t="shared" si="31"/>
        <v>3931.777445471665</v>
      </c>
      <c r="G76" s="289">
        <f t="shared" si="31"/>
        <v>3898.8159477649128</v>
      </c>
      <c r="H76" s="289">
        <f t="shared" si="31"/>
        <v>3827.8531053653796</v>
      </c>
      <c r="I76" s="289">
        <f t="shared" si="31"/>
        <v>3752.7971621229208</v>
      </c>
      <c r="J76" s="289">
        <f t="shared" si="31"/>
        <v>1972.232161661856</v>
      </c>
      <c r="K76" s="289">
        <f t="shared" si="31"/>
        <v>10580.032023489877</v>
      </c>
      <c r="L76" s="289">
        <f t="shared" si="31"/>
        <v>10372.580415186158</v>
      </c>
      <c r="M76" s="289">
        <f t="shared" si="31"/>
        <v>8560.6704072900429</v>
      </c>
      <c r="N76" s="289">
        <f t="shared" si="31"/>
        <v>9267.1139106597038</v>
      </c>
      <c r="O76" s="289">
        <f t="shared" si="31"/>
        <v>9085.4057947644142</v>
      </c>
      <c r="P76" s="289">
        <f t="shared" si="31"/>
        <v>4804.5561485247626</v>
      </c>
      <c r="Q76" s="289">
        <f t="shared" si="31"/>
        <v>6191.7894165709931</v>
      </c>
      <c r="R76" s="289">
        <f t="shared" si="31"/>
        <v>6070.3817809519533</v>
      </c>
      <c r="S76" s="289">
        <f t="shared" si="31"/>
        <v>5951.3546872077977</v>
      </c>
      <c r="T76" s="289">
        <f t="shared" si="31"/>
        <v>0</v>
      </c>
      <c r="U76" s="289">
        <f t="shared" si="31"/>
        <v>0</v>
      </c>
      <c r="V76" s="289">
        <f t="shared" si="31"/>
        <v>0</v>
      </c>
      <c r="W76" s="304">
        <f>SUM(B76:V76)</f>
        <v>82086.987473545305</v>
      </c>
      <c r="X76" s="265"/>
      <c r="Y76" s="265"/>
    </row>
    <row r="77" spans="1:25" s="264" customFormat="1" ht="18.75" x14ac:dyDescent="0.3">
      <c r="A77" s="264" t="str">
        <f>A70</f>
        <v>Товарное производство</v>
      </c>
      <c r="B77" s="289">
        <f>B65/B$74</f>
        <v>0</v>
      </c>
      <c r="C77" s="289">
        <f t="shared" si="31"/>
        <v>0</v>
      </c>
      <c r="D77" s="289">
        <f t="shared" si="31"/>
        <v>0</v>
      </c>
      <c r="E77" s="289">
        <f t="shared" si="31"/>
        <v>0</v>
      </c>
      <c r="F77" s="289">
        <f t="shared" si="31"/>
        <v>0</v>
      </c>
      <c r="G77" s="289">
        <f t="shared" si="31"/>
        <v>0</v>
      </c>
      <c r="H77" s="289">
        <f t="shared" si="31"/>
        <v>0</v>
      </c>
      <c r="I77" s="289">
        <f t="shared" si="31"/>
        <v>0</v>
      </c>
      <c r="J77" s="289">
        <f t="shared" si="31"/>
        <v>0</v>
      </c>
      <c r="K77" s="289">
        <f t="shared" si="31"/>
        <v>41837.763293632917</v>
      </c>
      <c r="L77" s="289">
        <f t="shared" si="31"/>
        <v>41017.414993757775</v>
      </c>
      <c r="M77" s="289">
        <f t="shared" si="31"/>
        <v>40213.151954664478</v>
      </c>
      <c r="N77" s="289">
        <f t="shared" si="31"/>
        <v>39424.65877908282</v>
      </c>
      <c r="O77" s="289">
        <f t="shared" si="31"/>
        <v>38651.62625400276</v>
      </c>
      <c r="P77" s="289">
        <f t="shared" si="31"/>
        <v>37893.751229414484</v>
      </c>
      <c r="Q77" s="289">
        <f t="shared" si="31"/>
        <v>37150.736499425955</v>
      </c>
      <c r="R77" s="289">
        <f t="shared" si="31"/>
        <v>36422.29068571172</v>
      </c>
      <c r="S77" s="289">
        <f t="shared" si="31"/>
        <v>35708.128123246788</v>
      </c>
      <c r="T77" s="289">
        <f t="shared" si="31"/>
        <v>0</v>
      </c>
      <c r="U77" s="289">
        <f t="shared" si="31"/>
        <v>0</v>
      </c>
      <c r="V77" s="289">
        <f t="shared" si="31"/>
        <v>0</v>
      </c>
      <c r="W77" s="304">
        <f>SUM(B77:V77)</f>
        <v>348319.52181293967</v>
      </c>
      <c r="X77" s="265"/>
      <c r="Y77" s="265"/>
    </row>
    <row r="78" spans="1:25" s="264" customFormat="1" ht="18.75" x14ac:dyDescent="0.3">
      <c r="A78" s="264" t="str">
        <f>A71</f>
        <v>Семеноводство</v>
      </c>
      <c r="B78" s="289">
        <f>B66/B$74</f>
        <v>0</v>
      </c>
      <c r="C78" s="289">
        <f t="shared" si="31"/>
        <v>0</v>
      </c>
      <c r="D78" s="289">
        <f t="shared" si="31"/>
        <v>0</v>
      </c>
      <c r="E78" s="289">
        <f t="shared" si="31"/>
        <v>0</v>
      </c>
      <c r="F78" s="289">
        <f t="shared" si="31"/>
        <v>0</v>
      </c>
      <c r="G78" s="289">
        <f t="shared" si="31"/>
        <v>0</v>
      </c>
      <c r="H78" s="289">
        <f t="shared" si="31"/>
        <v>0</v>
      </c>
      <c r="I78" s="289">
        <f t="shared" si="31"/>
        <v>-682.79229695208937</v>
      </c>
      <c r="J78" s="289">
        <f t="shared" si="31"/>
        <v>1037.5765296820964</v>
      </c>
      <c r="K78" s="289">
        <f t="shared" si="31"/>
        <v>0</v>
      </c>
      <c r="L78" s="289">
        <f t="shared" si="31"/>
        <v>-643.41043127463183</v>
      </c>
      <c r="M78" s="289">
        <f t="shared" si="31"/>
        <v>977.73153772125397</v>
      </c>
      <c r="N78" s="289">
        <f t="shared" si="31"/>
        <v>0</v>
      </c>
      <c r="O78" s="289">
        <f t="shared" si="31"/>
        <v>-606.30001967063163</v>
      </c>
      <c r="P78" s="289">
        <f t="shared" si="31"/>
        <v>921.33826518576393</v>
      </c>
      <c r="Q78" s="289">
        <f t="shared" si="31"/>
        <v>0</v>
      </c>
      <c r="R78" s="289">
        <f t="shared" si="31"/>
        <v>0</v>
      </c>
      <c r="S78" s="289">
        <f t="shared" si="31"/>
        <v>0</v>
      </c>
      <c r="T78" s="289">
        <f t="shared" si="31"/>
        <v>0</v>
      </c>
      <c r="U78" s="289">
        <f t="shared" si="31"/>
        <v>0</v>
      </c>
      <c r="V78" s="289">
        <f t="shared" si="31"/>
        <v>0</v>
      </c>
      <c r="W78" s="304">
        <f>SUM(B78:V78)</f>
        <v>1004.1435846917615</v>
      </c>
      <c r="X78" s="265"/>
      <c r="Y78" s="265"/>
    </row>
    <row r="79" spans="1:25" s="264" customFormat="1" ht="18.75" x14ac:dyDescent="0.3">
      <c r="A79" s="264" t="str">
        <f>A72</f>
        <v>Сумма приростов по табл.</v>
      </c>
      <c r="B79" s="289">
        <f t="shared" ref="B79:V79" si="32">B72/B$74</f>
        <v>-7453.9215686274511</v>
      </c>
      <c r="C79" s="289">
        <f t="shared" si="32"/>
        <v>1273.5486351403306</v>
      </c>
      <c r="D79" s="289">
        <f t="shared" si="32"/>
        <v>0</v>
      </c>
      <c r="E79" s="289">
        <f t="shared" si="32"/>
        <v>0</v>
      </c>
      <c r="F79" s="289">
        <f t="shared" si="32"/>
        <v>3931.777445471665</v>
      </c>
      <c r="G79" s="289">
        <f t="shared" si="32"/>
        <v>3898.8159477649128</v>
      </c>
      <c r="H79" s="289">
        <f t="shared" si="32"/>
        <v>3827.8531053653796</v>
      </c>
      <c r="I79" s="289">
        <f t="shared" si="32"/>
        <v>3070.0048651708316</v>
      </c>
      <c r="J79" s="289">
        <f t="shared" si="32"/>
        <v>3009.8086913439524</v>
      </c>
      <c r="K79" s="289">
        <f t="shared" si="32"/>
        <v>52417.7953171228</v>
      </c>
      <c r="L79" s="432">
        <f t="shared" si="32"/>
        <v>50746.584977669299</v>
      </c>
      <c r="M79" s="432">
        <f t="shared" si="32"/>
        <v>49751.553899675775</v>
      </c>
      <c r="N79" s="432">
        <f t="shared" si="32"/>
        <v>48691.772689742524</v>
      </c>
      <c r="O79" s="432">
        <f t="shared" si="32"/>
        <v>47130.732029096544</v>
      </c>
      <c r="P79" s="432">
        <f t="shared" si="32"/>
        <v>43619.645643125012</v>
      </c>
      <c r="Q79" s="289">
        <f t="shared" si="32"/>
        <v>43342.52591599695</v>
      </c>
      <c r="R79" s="289">
        <f t="shared" si="32"/>
        <v>42492.672466663673</v>
      </c>
      <c r="S79" s="289">
        <f t="shared" si="32"/>
        <v>41659.482810454589</v>
      </c>
      <c r="T79" s="289">
        <f t="shared" si="32"/>
        <v>0</v>
      </c>
      <c r="U79" s="289">
        <f t="shared" si="32"/>
        <v>0</v>
      </c>
      <c r="V79" s="289">
        <f t="shared" si="32"/>
        <v>0</v>
      </c>
      <c r="W79" s="305">
        <f>SUM(B79:V79)</f>
        <v>431410.65287117672</v>
      </c>
      <c r="X79" s="265"/>
      <c r="Y79" s="265"/>
    </row>
    <row r="80" spans="1:25" s="285" customFormat="1" ht="12.75" x14ac:dyDescent="0.2">
      <c r="A80" s="285" t="s">
        <v>349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</row>
    <row r="81" spans="1:26" s="264" customFormat="1" ht="12.75" x14ac:dyDescent="0.2">
      <c r="A81" s="264" t="str">
        <f>A76</f>
        <v>Селекционера</v>
      </c>
      <c r="B81" s="289">
        <f>B76</f>
        <v>-7453.9215686274511</v>
      </c>
      <c r="C81" s="289">
        <f>B81+C76</f>
        <v>-6180.3729334871205</v>
      </c>
      <c r="D81" s="289">
        <f t="shared" ref="D81:V84" si="33">C81+D76</f>
        <v>-6180.3729334871205</v>
      </c>
      <c r="E81" s="289">
        <f t="shared" si="33"/>
        <v>-6180.3729334871205</v>
      </c>
      <c r="F81" s="289">
        <f t="shared" si="33"/>
        <v>-2248.5954880154554</v>
      </c>
      <c r="G81" s="289">
        <f t="shared" si="33"/>
        <v>1650.2204597494574</v>
      </c>
      <c r="H81" s="289">
        <f t="shared" si="33"/>
        <v>5478.073565114837</v>
      </c>
      <c r="I81" s="289">
        <f t="shared" si="33"/>
        <v>9230.8707272377578</v>
      </c>
      <c r="J81" s="289">
        <f t="shared" si="33"/>
        <v>11203.102888899613</v>
      </c>
      <c r="K81" s="289">
        <f t="shared" si="33"/>
        <v>21783.134912389491</v>
      </c>
      <c r="L81" s="289">
        <f t="shared" si="33"/>
        <v>32155.71532757565</v>
      </c>
      <c r="M81" s="289">
        <f t="shared" si="33"/>
        <v>40716.385734865689</v>
      </c>
      <c r="N81" s="289">
        <f t="shared" si="33"/>
        <v>49983.499645525393</v>
      </c>
      <c r="O81" s="289">
        <f t="shared" si="33"/>
        <v>59068.905440289804</v>
      </c>
      <c r="P81" s="289">
        <f t="shared" si="33"/>
        <v>63873.461588814564</v>
      </c>
      <c r="Q81" s="289">
        <f t="shared" si="33"/>
        <v>70065.251005385551</v>
      </c>
      <c r="R81" s="289">
        <f t="shared" si="33"/>
        <v>76135.632786337505</v>
      </c>
      <c r="S81" s="289">
        <f t="shared" si="33"/>
        <v>82086.987473545305</v>
      </c>
      <c r="T81" s="289">
        <f t="shared" si="33"/>
        <v>82086.987473545305</v>
      </c>
      <c r="U81" s="289">
        <f t="shared" si="33"/>
        <v>82086.987473545305</v>
      </c>
      <c r="V81" s="289">
        <f t="shared" si="33"/>
        <v>82086.987473545305</v>
      </c>
      <c r="W81" s="265"/>
      <c r="X81" s="265"/>
      <c r="Y81" s="265"/>
    </row>
    <row r="82" spans="1:26" s="264" customFormat="1" ht="12.75" x14ac:dyDescent="0.2">
      <c r="A82" s="264" t="str">
        <f t="shared" ref="A82:B84" si="34">A77</f>
        <v>Товарное производство</v>
      </c>
      <c r="B82" s="289">
        <f t="shared" si="34"/>
        <v>0</v>
      </c>
      <c r="C82" s="289">
        <f>B82+C77</f>
        <v>0</v>
      </c>
      <c r="D82" s="289">
        <f t="shared" ref="D82:R82" si="35">C82+D77</f>
        <v>0</v>
      </c>
      <c r="E82" s="289">
        <f t="shared" si="35"/>
        <v>0</v>
      </c>
      <c r="F82" s="289">
        <f t="shared" si="35"/>
        <v>0</v>
      </c>
      <c r="G82" s="289">
        <f t="shared" si="35"/>
        <v>0</v>
      </c>
      <c r="H82" s="289">
        <f t="shared" si="35"/>
        <v>0</v>
      </c>
      <c r="I82" s="289">
        <f t="shared" si="35"/>
        <v>0</v>
      </c>
      <c r="J82" s="289">
        <f t="shared" si="35"/>
        <v>0</v>
      </c>
      <c r="K82" s="289">
        <f t="shared" si="35"/>
        <v>41837.763293632917</v>
      </c>
      <c r="L82" s="289">
        <f t="shared" si="35"/>
        <v>82855.178287390692</v>
      </c>
      <c r="M82" s="289">
        <f t="shared" si="35"/>
        <v>123068.33024205518</v>
      </c>
      <c r="N82" s="289">
        <f t="shared" si="35"/>
        <v>162492.989021138</v>
      </c>
      <c r="O82" s="289">
        <f t="shared" si="35"/>
        <v>201144.61527514076</v>
      </c>
      <c r="P82" s="289">
        <f t="shared" si="35"/>
        <v>239038.36650455525</v>
      </c>
      <c r="Q82" s="289">
        <f t="shared" si="35"/>
        <v>276189.10300398117</v>
      </c>
      <c r="R82" s="289">
        <f t="shared" si="35"/>
        <v>312611.39368969289</v>
      </c>
      <c r="S82" s="289">
        <f t="shared" si="33"/>
        <v>348319.52181293967</v>
      </c>
      <c r="T82" s="289">
        <f t="shared" si="33"/>
        <v>348319.52181293967</v>
      </c>
      <c r="U82" s="289">
        <f t="shared" si="33"/>
        <v>348319.52181293967</v>
      </c>
      <c r="V82" s="289">
        <f t="shared" si="33"/>
        <v>348319.52181293967</v>
      </c>
      <c r="W82" s="265"/>
      <c r="X82" s="265"/>
      <c r="Y82" s="265"/>
    </row>
    <row r="83" spans="1:26" s="264" customFormat="1" ht="12.75" x14ac:dyDescent="0.2">
      <c r="A83" s="264" t="str">
        <f t="shared" si="34"/>
        <v>Семеноводство</v>
      </c>
      <c r="B83" s="289">
        <f t="shared" si="34"/>
        <v>0</v>
      </c>
      <c r="C83" s="289">
        <f>B83+C78</f>
        <v>0</v>
      </c>
      <c r="D83" s="289">
        <f t="shared" si="33"/>
        <v>0</v>
      </c>
      <c r="E83" s="289">
        <f t="shared" si="33"/>
        <v>0</v>
      </c>
      <c r="F83" s="289">
        <f t="shared" si="33"/>
        <v>0</v>
      </c>
      <c r="G83" s="289">
        <f t="shared" si="33"/>
        <v>0</v>
      </c>
      <c r="H83" s="289">
        <f t="shared" si="33"/>
        <v>0</v>
      </c>
      <c r="I83" s="289">
        <f t="shared" si="33"/>
        <v>-682.79229695208937</v>
      </c>
      <c r="J83" s="289">
        <f t="shared" si="33"/>
        <v>354.78423273000703</v>
      </c>
      <c r="K83" s="289">
        <f t="shared" si="33"/>
        <v>354.78423273000703</v>
      </c>
      <c r="L83" s="289">
        <f t="shared" si="33"/>
        <v>-288.6261985446248</v>
      </c>
      <c r="M83" s="289">
        <f t="shared" si="33"/>
        <v>689.10533917662917</v>
      </c>
      <c r="N83" s="289">
        <f t="shared" si="33"/>
        <v>689.10533917662917</v>
      </c>
      <c r="O83" s="289">
        <f t="shared" si="33"/>
        <v>82.805319505997545</v>
      </c>
      <c r="P83" s="289">
        <f t="shared" si="33"/>
        <v>1004.1435846917615</v>
      </c>
      <c r="Q83" s="289">
        <f t="shared" si="33"/>
        <v>1004.1435846917615</v>
      </c>
      <c r="R83" s="289">
        <f t="shared" si="33"/>
        <v>1004.1435846917615</v>
      </c>
      <c r="S83" s="289">
        <f t="shared" si="33"/>
        <v>1004.1435846917615</v>
      </c>
      <c r="T83" s="289">
        <f t="shared" si="33"/>
        <v>1004.1435846917615</v>
      </c>
      <c r="U83" s="289">
        <f t="shared" si="33"/>
        <v>1004.1435846917615</v>
      </c>
      <c r="V83" s="289">
        <f t="shared" si="33"/>
        <v>1004.1435846917615</v>
      </c>
      <c r="W83" s="265"/>
      <c r="X83" s="265"/>
      <c r="Y83" s="265"/>
    </row>
    <row r="84" spans="1:26" s="264" customFormat="1" ht="12.75" x14ac:dyDescent="0.2">
      <c r="A84" s="264" t="str">
        <f t="shared" si="34"/>
        <v>Сумма приростов по табл.</v>
      </c>
      <c r="B84" s="289">
        <f t="shared" si="34"/>
        <v>-7453.9215686274511</v>
      </c>
      <c r="C84" s="289">
        <f>B84+C79</f>
        <v>-6180.3729334871205</v>
      </c>
      <c r="D84" s="289">
        <f t="shared" si="33"/>
        <v>-6180.3729334871205</v>
      </c>
      <c r="E84" s="289">
        <f t="shared" si="33"/>
        <v>-6180.3729334871205</v>
      </c>
      <c r="F84" s="289">
        <f t="shared" si="33"/>
        <v>-2248.5954880154554</v>
      </c>
      <c r="G84" s="289">
        <f t="shared" si="33"/>
        <v>1650.2204597494574</v>
      </c>
      <c r="H84" s="289">
        <f t="shared" si="33"/>
        <v>5478.073565114837</v>
      </c>
      <c r="I84" s="289">
        <f t="shared" si="33"/>
        <v>8548.0784302856682</v>
      </c>
      <c r="J84" s="289">
        <f t="shared" si="33"/>
        <v>11557.887121629621</v>
      </c>
      <c r="K84" s="289">
        <f t="shared" si="33"/>
        <v>63975.682438752425</v>
      </c>
      <c r="L84" s="289">
        <f t="shared" si="33"/>
        <v>114722.26741642173</v>
      </c>
      <c r="M84" s="289">
        <f t="shared" si="33"/>
        <v>164473.82131609751</v>
      </c>
      <c r="N84" s="289">
        <f t="shared" si="33"/>
        <v>213165.59400584004</v>
      </c>
      <c r="O84" s="289">
        <f t="shared" si="33"/>
        <v>260296.32603493659</v>
      </c>
      <c r="P84" s="289">
        <f t="shared" si="33"/>
        <v>303915.97167806159</v>
      </c>
      <c r="Q84" s="289">
        <f t="shared" si="33"/>
        <v>347258.49759405851</v>
      </c>
      <c r="R84" s="289">
        <f t="shared" si="33"/>
        <v>389751.17006072216</v>
      </c>
      <c r="S84" s="289">
        <f t="shared" si="33"/>
        <v>431410.65287117672</v>
      </c>
      <c r="T84" s="289">
        <f t="shared" si="33"/>
        <v>431410.65287117672</v>
      </c>
      <c r="U84" s="289">
        <f t="shared" si="33"/>
        <v>431410.65287117672</v>
      </c>
      <c r="V84" s="289">
        <f t="shared" si="33"/>
        <v>431410.65287117672</v>
      </c>
      <c r="W84" s="265"/>
      <c r="X84" s="265"/>
      <c r="Y84" s="265"/>
    </row>
    <row r="85" spans="1:26" s="188" customFormat="1" x14ac:dyDescent="0.25">
      <c r="A85" s="188" t="s">
        <v>351</v>
      </c>
      <c r="B85" s="47"/>
      <c r="C85" s="47"/>
      <c r="D85" s="47"/>
      <c r="E85" s="47"/>
      <c r="F85" s="198"/>
      <c r="I85" s="198"/>
      <c r="N85" s="198"/>
    </row>
    <row r="86" spans="1:26" x14ac:dyDescent="0.25">
      <c r="A86" t="str">
        <f>A64</f>
        <v>Селекционера</v>
      </c>
      <c r="B86" s="64">
        <f>IF(AND(B81&lt;0,C81&gt;0),B$2+(-B81/(-B81+C81)),0)</f>
        <v>0</v>
      </c>
      <c r="C86" s="64">
        <f t="shared" ref="C86:S89" si="36">IF(AND(C81&lt;0,D81&gt;0),C$2+(-C81/(-C81+D81)),0)</f>
        <v>0</v>
      </c>
      <c r="D86" s="64">
        <f t="shared" si="36"/>
        <v>0</v>
      </c>
      <c r="E86" s="64">
        <f t="shared" si="36"/>
        <v>0</v>
      </c>
      <c r="F86" s="64">
        <f t="shared" si="36"/>
        <v>5.5767380451248325</v>
      </c>
      <c r="G86" s="64">
        <f t="shared" si="36"/>
        <v>0</v>
      </c>
      <c r="H86" s="64">
        <f t="shared" si="36"/>
        <v>0</v>
      </c>
      <c r="I86" s="64">
        <f t="shared" si="36"/>
        <v>0</v>
      </c>
      <c r="J86" s="64">
        <f t="shared" si="36"/>
        <v>0</v>
      </c>
      <c r="K86" s="64">
        <f t="shared" si="36"/>
        <v>0</v>
      </c>
      <c r="L86" s="64">
        <f t="shared" si="36"/>
        <v>0</v>
      </c>
      <c r="M86" s="64">
        <f t="shared" si="36"/>
        <v>0</v>
      </c>
      <c r="N86" s="64">
        <f t="shared" si="36"/>
        <v>0</v>
      </c>
      <c r="O86" s="64">
        <f t="shared" si="36"/>
        <v>0</v>
      </c>
      <c r="P86" s="64">
        <f t="shared" si="36"/>
        <v>0</v>
      </c>
      <c r="Q86" s="64">
        <f t="shared" si="36"/>
        <v>0</v>
      </c>
      <c r="R86" s="64">
        <f t="shared" si="36"/>
        <v>0</v>
      </c>
      <c r="S86" s="64">
        <f t="shared" si="36"/>
        <v>0</v>
      </c>
      <c r="T86" s="64">
        <f t="shared" ref="T86:V89" si="37">IF(AND(T81&lt;0,V81&gt;0),T$2+(-T81/(-T81+V81)),0)</f>
        <v>0</v>
      </c>
      <c r="U86" s="64">
        <f t="shared" si="37"/>
        <v>0</v>
      </c>
      <c r="V86" s="64">
        <f t="shared" si="37"/>
        <v>0</v>
      </c>
      <c r="W86" s="279" t="s">
        <v>346</v>
      </c>
      <c r="X86" s="280">
        <f>MAX(B86:V86)</f>
        <v>5.5767380451248325</v>
      </c>
      <c r="Y86" s="588" t="s">
        <v>370</v>
      </c>
      <c r="Z86" s="588"/>
    </row>
    <row r="87" spans="1:26" x14ac:dyDescent="0.25">
      <c r="A87" t="str">
        <f>A65</f>
        <v>Товарное производство</v>
      </c>
      <c r="B87" s="64">
        <f>IF(AND(B82&lt;0,C82&gt;0),B$2+(-B82/(-B82+C82)),0)</f>
        <v>0</v>
      </c>
      <c r="C87" s="64">
        <f t="shared" ref="C87:Q87" si="38">IF(AND(C82&lt;0,D82&gt;0),C$2+(-C82/(-C82+D82)),0)</f>
        <v>0</v>
      </c>
      <c r="D87" s="64">
        <f t="shared" si="38"/>
        <v>0</v>
      </c>
      <c r="E87" s="64">
        <f t="shared" si="38"/>
        <v>0</v>
      </c>
      <c r="F87" s="64">
        <f t="shared" si="38"/>
        <v>0</v>
      </c>
      <c r="G87" s="64">
        <f t="shared" si="38"/>
        <v>0</v>
      </c>
      <c r="H87" s="64">
        <f t="shared" si="38"/>
        <v>0</v>
      </c>
      <c r="I87" s="64">
        <f t="shared" si="38"/>
        <v>0</v>
      </c>
      <c r="J87" s="64">
        <f t="shared" si="38"/>
        <v>0</v>
      </c>
      <c r="K87" s="64">
        <f t="shared" si="38"/>
        <v>0</v>
      </c>
      <c r="L87" s="64">
        <f t="shared" si="38"/>
        <v>0</v>
      </c>
      <c r="M87" s="64">
        <f t="shared" si="38"/>
        <v>0</v>
      </c>
      <c r="N87" s="64">
        <f t="shared" si="38"/>
        <v>0</v>
      </c>
      <c r="O87" s="64">
        <f t="shared" si="38"/>
        <v>0</v>
      </c>
      <c r="P87" s="64">
        <f t="shared" si="38"/>
        <v>0</v>
      </c>
      <c r="Q87" s="64">
        <f t="shared" si="38"/>
        <v>0</v>
      </c>
      <c r="R87" s="64">
        <f t="shared" si="36"/>
        <v>0</v>
      </c>
      <c r="S87" s="64">
        <f t="shared" si="36"/>
        <v>0</v>
      </c>
      <c r="T87" s="64">
        <f t="shared" si="37"/>
        <v>0</v>
      </c>
      <c r="U87" s="64">
        <f t="shared" si="37"/>
        <v>0</v>
      </c>
      <c r="V87" s="64">
        <f t="shared" si="37"/>
        <v>0</v>
      </c>
      <c r="W87" s="279" t="s">
        <v>346</v>
      </c>
      <c r="X87" s="280">
        <f>MAX(B87:V87)</f>
        <v>0</v>
      </c>
      <c r="Y87" s="588"/>
      <c r="Z87" s="588"/>
    </row>
    <row r="88" spans="1:26" x14ac:dyDescent="0.25">
      <c r="A88" t="str">
        <f>A66</f>
        <v>Семеноводство</v>
      </c>
      <c r="B88" s="64">
        <f>IF(AND(B83&lt;0,C83&gt;0),B$2+(-B83/(-B83+C83)),0)</f>
        <v>0</v>
      </c>
      <c r="C88" s="64">
        <f t="shared" si="36"/>
        <v>0</v>
      </c>
      <c r="D88" s="64">
        <f t="shared" si="36"/>
        <v>0</v>
      </c>
      <c r="E88" s="64">
        <f t="shared" si="36"/>
        <v>0</v>
      </c>
      <c r="F88" s="64">
        <f t="shared" si="36"/>
        <v>0</v>
      </c>
      <c r="G88" s="64">
        <f t="shared" si="36"/>
        <v>0</v>
      </c>
      <c r="H88" s="64">
        <f t="shared" si="36"/>
        <v>0</v>
      </c>
      <c r="I88" s="64">
        <f t="shared" si="36"/>
        <v>8.6580645161290324</v>
      </c>
      <c r="J88" s="64">
        <f t="shared" si="36"/>
        <v>0</v>
      </c>
      <c r="K88" s="64">
        <f t="shared" si="36"/>
        <v>0</v>
      </c>
      <c r="L88" s="64">
        <f t="shared" si="36"/>
        <v>11.29519984516129</v>
      </c>
      <c r="M88" s="64">
        <f t="shared" si="36"/>
        <v>0</v>
      </c>
      <c r="N88" s="64">
        <f t="shared" si="36"/>
        <v>0</v>
      </c>
      <c r="O88" s="64">
        <f t="shared" si="36"/>
        <v>0</v>
      </c>
      <c r="P88" s="64">
        <f t="shared" si="36"/>
        <v>0</v>
      </c>
      <c r="Q88" s="64">
        <f t="shared" si="36"/>
        <v>0</v>
      </c>
      <c r="R88" s="64">
        <f t="shared" si="36"/>
        <v>0</v>
      </c>
      <c r="S88" s="64">
        <f t="shared" si="36"/>
        <v>0</v>
      </c>
      <c r="T88" s="64">
        <f t="shared" si="37"/>
        <v>0</v>
      </c>
      <c r="U88" s="64">
        <f t="shared" si="37"/>
        <v>0</v>
      </c>
      <c r="V88" s="64">
        <f t="shared" si="37"/>
        <v>0</v>
      </c>
      <c r="W88" s="279" t="s">
        <v>346</v>
      </c>
      <c r="X88" s="290">
        <f>MAX(B88:V88)</f>
        <v>11.29519984516129</v>
      </c>
      <c r="Y88" s="588"/>
      <c r="Z88" s="588"/>
    </row>
    <row r="89" spans="1:26" x14ac:dyDescent="0.25">
      <c r="A89" t="s">
        <v>327</v>
      </c>
      <c r="B89" s="64">
        <f>IF(AND(B84&lt;0,C84&gt;0),B$2+(-B84/(-B84+C84)),0)</f>
        <v>0</v>
      </c>
      <c r="C89" s="64">
        <f t="shared" si="36"/>
        <v>0</v>
      </c>
      <c r="D89" s="64">
        <f t="shared" si="36"/>
        <v>0</v>
      </c>
      <c r="E89" s="64">
        <f t="shared" si="36"/>
        <v>0</v>
      </c>
      <c r="F89" s="64">
        <f t="shared" si="36"/>
        <v>5.5767380451248325</v>
      </c>
      <c r="G89" s="64">
        <f t="shared" si="36"/>
        <v>0</v>
      </c>
      <c r="H89" s="64">
        <f t="shared" si="36"/>
        <v>0</v>
      </c>
      <c r="I89" s="64">
        <f t="shared" si="36"/>
        <v>0</v>
      </c>
      <c r="J89" s="64">
        <f t="shared" si="36"/>
        <v>0</v>
      </c>
      <c r="K89" s="64">
        <f t="shared" si="36"/>
        <v>0</v>
      </c>
      <c r="L89" s="64">
        <f t="shared" si="36"/>
        <v>0</v>
      </c>
      <c r="M89" s="64">
        <f t="shared" si="36"/>
        <v>0</v>
      </c>
      <c r="N89" s="64">
        <f t="shared" si="36"/>
        <v>0</v>
      </c>
      <c r="O89" s="64">
        <f t="shared" si="36"/>
        <v>0</v>
      </c>
      <c r="P89" s="64">
        <f t="shared" si="36"/>
        <v>0</v>
      </c>
      <c r="Q89" s="64">
        <f t="shared" si="36"/>
        <v>0</v>
      </c>
      <c r="R89" s="64">
        <f t="shared" si="36"/>
        <v>0</v>
      </c>
      <c r="S89" s="64">
        <f t="shared" si="36"/>
        <v>0</v>
      </c>
      <c r="T89" s="64">
        <f t="shared" si="37"/>
        <v>0</v>
      </c>
      <c r="U89" s="64">
        <f t="shared" si="37"/>
        <v>0</v>
      </c>
      <c r="V89" s="64">
        <f t="shared" si="37"/>
        <v>0</v>
      </c>
      <c r="W89" s="279" t="s">
        <v>346</v>
      </c>
      <c r="X89" s="280">
        <f>MAX(B89:V89)</f>
        <v>5.5767380451248325</v>
      </c>
      <c r="Y89" s="588"/>
      <c r="Z89" s="588"/>
    </row>
    <row r="90" spans="1:26" s="47" customFormat="1" ht="15.75" thickBot="1" x14ac:dyDescent="0.3">
      <c r="A90" s="47" t="s">
        <v>352</v>
      </c>
      <c r="F90" s="145"/>
      <c r="I90" s="145"/>
      <c r="N90" s="145"/>
    </row>
    <row r="91" spans="1:26" ht="15.75" thickBot="1" x14ac:dyDescent="0.3">
      <c r="A91" t="s">
        <v>320</v>
      </c>
      <c r="B91" s="589" t="s">
        <v>353</v>
      </c>
      <c r="C91" s="589"/>
      <c r="D91" s="589"/>
      <c r="E91" s="589"/>
      <c r="F91" s="589"/>
      <c r="G91" s="589"/>
      <c r="H91" s="589"/>
      <c r="I91" s="589"/>
      <c r="J91" s="589"/>
      <c r="K91" s="589"/>
      <c r="L91" s="589"/>
      <c r="M91" s="589"/>
      <c r="N91" s="590" t="s">
        <v>354</v>
      </c>
      <c r="O91" s="590"/>
      <c r="P91" s="291" t="s">
        <v>355</v>
      </c>
      <c r="Q91" s="291"/>
      <c r="R91" s="591" t="s">
        <v>356</v>
      </c>
      <c r="S91" s="591"/>
      <c r="T91" s="583" t="s">
        <v>283</v>
      </c>
      <c r="U91" s="584"/>
      <c r="V91" s="584"/>
    </row>
    <row r="92" spans="1:26" ht="15.75" thickBot="1" x14ac:dyDescent="0.3">
      <c r="A92" t="s">
        <v>336</v>
      </c>
      <c r="B92" s="583" t="s">
        <v>363</v>
      </c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5"/>
    </row>
    <row r="93" spans="1:26" x14ac:dyDescent="0.25">
      <c r="A93" t="s">
        <v>322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T93" s="577" t="s">
        <v>365</v>
      </c>
      <c r="U93" s="577"/>
      <c r="V93" s="577"/>
    </row>
    <row r="94" spans="1:26" x14ac:dyDescent="0.25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</row>
    <row r="95" spans="1:26" ht="14.45" customHeight="1" thickBot="1" x14ac:dyDescent="0.3">
      <c r="A95" s="47" t="s">
        <v>357</v>
      </c>
      <c r="B95" s="299"/>
      <c r="C95" s="299"/>
      <c r="D95" s="299"/>
      <c r="E95" s="299"/>
      <c r="F95" s="299"/>
      <c r="G95" s="299"/>
      <c r="H95" s="299"/>
      <c r="I95" s="299"/>
      <c r="J95" s="299"/>
      <c r="K95" s="94"/>
      <c r="L95" s="297"/>
      <c r="M95" s="297"/>
      <c r="N95" s="297"/>
      <c r="O95" s="297"/>
      <c r="P95" s="298"/>
      <c r="Q95" s="298"/>
      <c r="R95" s="298"/>
      <c r="S95" s="298"/>
      <c r="T95" s="298"/>
      <c r="U95" s="298"/>
      <c r="V95" s="298"/>
    </row>
    <row r="96" spans="1:26" s="292" customFormat="1" ht="48.75" thickBot="1" x14ac:dyDescent="0.3">
      <c r="A96" s="292" t="s">
        <v>320</v>
      </c>
      <c r="B96" s="293" t="s">
        <v>358</v>
      </c>
      <c r="C96" s="294" t="s">
        <v>97</v>
      </c>
      <c r="D96" s="578" t="s">
        <v>359</v>
      </c>
      <c r="E96" s="578"/>
      <c r="F96" s="296" t="s">
        <v>360</v>
      </c>
      <c r="G96" s="579" t="s">
        <v>361</v>
      </c>
      <c r="H96" s="579"/>
      <c r="I96" s="580" t="s">
        <v>362</v>
      </c>
      <c r="J96" s="580"/>
      <c r="K96" s="581" t="s">
        <v>283</v>
      </c>
      <c r="L96" s="582"/>
      <c r="M96" s="582"/>
      <c r="N96" s="582"/>
      <c r="O96" s="582"/>
      <c r="P96" s="582"/>
      <c r="Q96" s="582"/>
      <c r="R96" s="582"/>
      <c r="S96" s="582"/>
      <c r="T96" s="582"/>
      <c r="U96" s="582"/>
      <c r="V96" s="582"/>
      <c r="W96" s="295"/>
      <c r="X96" s="295"/>
      <c r="Y96" s="295"/>
    </row>
    <row r="97" spans="1:25" ht="15.75" thickBot="1" x14ac:dyDescent="0.3">
      <c r="A97" t="str">
        <f>A92</f>
        <v>Товарное овощеводство</v>
      </c>
      <c r="B97" s="583" t="s">
        <v>363</v>
      </c>
      <c r="C97" s="584"/>
      <c r="D97" s="584"/>
      <c r="E97" s="584"/>
      <c r="F97" s="584"/>
      <c r="G97" s="584"/>
      <c r="H97" s="584"/>
      <c r="I97" s="584"/>
      <c r="J97" s="585"/>
      <c r="K97" s="586" t="s">
        <v>364</v>
      </c>
      <c r="L97" s="587"/>
      <c r="M97" s="587"/>
      <c r="N97" s="587"/>
      <c r="O97" s="587"/>
      <c r="P97" s="587"/>
      <c r="Q97" s="587"/>
      <c r="R97" s="587"/>
      <c r="S97" s="587"/>
      <c r="T97" s="587"/>
      <c r="U97" s="587"/>
      <c r="V97" s="587"/>
    </row>
    <row r="98" spans="1:25" x14ac:dyDescent="0.25">
      <c r="A98" t="s">
        <v>322</v>
      </c>
      <c r="K98" s="577" t="s">
        <v>365</v>
      </c>
      <c r="L98" s="577"/>
      <c r="M98" s="577"/>
      <c r="N98" s="577"/>
      <c r="O98" s="577"/>
      <c r="P98" s="577"/>
      <c r="Q98" s="577"/>
      <c r="R98" s="577"/>
      <c r="S98" s="577"/>
      <c r="T98" s="577"/>
      <c r="U98" s="577"/>
      <c r="V98" s="577"/>
    </row>
    <row r="99" spans="1:25" s="94" customFormat="1" x14ac:dyDescent="0.25">
      <c r="W99" s="118"/>
      <c r="X99" s="118"/>
      <c r="Y99" s="118"/>
    </row>
    <row r="100" spans="1:25" s="94" customFormat="1" x14ac:dyDescent="0.25">
      <c r="A100" s="301" t="s">
        <v>369</v>
      </c>
      <c r="B100" s="302">
        <f>B53</f>
        <v>-12000</v>
      </c>
      <c r="C100" s="302">
        <f t="shared" ref="C100:V100" si="39">C53</f>
        <v>-15072</v>
      </c>
      <c r="D100" s="302">
        <f t="shared" si="39"/>
        <v>-19469</v>
      </c>
      <c r="E100" s="302">
        <f t="shared" si="39"/>
        <v>-23866</v>
      </c>
      <c r="F100" s="302">
        <f t="shared" si="39"/>
        <v>-23922</v>
      </c>
      <c r="G100" s="302">
        <f t="shared" si="39"/>
        <v>-23928.3</v>
      </c>
      <c r="H100" s="302">
        <f t="shared" si="39"/>
        <v>-23928.3</v>
      </c>
      <c r="I100" s="302">
        <f t="shared" si="39"/>
        <v>-23928.3</v>
      </c>
      <c r="J100" s="302">
        <f t="shared" si="39"/>
        <v>-25968.3</v>
      </c>
      <c r="K100" s="302">
        <f t="shared" si="39"/>
        <v>-17468.3</v>
      </c>
      <c r="L100" s="302">
        <f t="shared" si="39"/>
        <v>-8968.2999999999993</v>
      </c>
      <c r="M100" s="302">
        <f t="shared" si="39"/>
        <v>-2508.2999999999993</v>
      </c>
      <c r="N100" s="302">
        <f t="shared" si="39"/>
        <v>5991.7000000000007</v>
      </c>
      <c r="O100" s="302">
        <f t="shared" si="39"/>
        <v>14491.7</v>
      </c>
      <c r="P100" s="302">
        <f t="shared" si="39"/>
        <v>20951.7</v>
      </c>
      <c r="Q100" s="302">
        <f t="shared" si="39"/>
        <v>29451.7</v>
      </c>
      <c r="R100" s="302">
        <f t="shared" si="39"/>
        <v>37951.699999999997</v>
      </c>
      <c r="S100" s="302">
        <f t="shared" si="39"/>
        <v>44411.7</v>
      </c>
      <c r="T100" s="302">
        <f t="shared" si="39"/>
        <v>52911.7</v>
      </c>
      <c r="U100" s="302"/>
      <c r="V100" s="302">
        <f t="shared" si="39"/>
        <v>69911.7</v>
      </c>
      <c r="W100" s="118"/>
      <c r="X100" s="118"/>
      <c r="Y100" s="118"/>
    </row>
    <row r="101" spans="1:25" s="94" customFormat="1" x14ac:dyDescent="0.25">
      <c r="A101" s="300" t="s">
        <v>368</v>
      </c>
      <c r="B101" s="303">
        <f>B24</f>
        <v>-4397</v>
      </c>
      <c r="C101" s="303">
        <f t="shared" ref="C101:V101" si="40">C24</f>
        <v>-8794</v>
      </c>
      <c r="D101" s="303">
        <f t="shared" si="40"/>
        <v>-13191</v>
      </c>
      <c r="E101" s="303">
        <f t="shared" si="40"/>
        <v>-17588</v>
      </c>
      <c r="F101" s="303">
        <f t="shared" si="40"/>
        <v>-21985</v>
      </c>
      <c r="G101" s="303">
        <f t="shared" si="40"/>
        <v>-26382</v>
      </c>
      <c r="H101" s="303">
        <f t="shared" si="40"/>
        <v>-30779</v>
      </c>
      <c r="I101" s="303">
        <f t="shared" si="40"/>
        <v>-35176</v>
      </c>
      <c r="J101" s="303">
        <f t="shared" si="40"/>
        <v>-39573</v>
      </c>
      <c r="K101" s="303">
        <f t="shared" si="40"/>
        <v>-43970</v>
      </c>
      <c r="L101" s="303">
        <f t="shared" si="40"/>
        <v>-48367</v>
      </c>
      <c r="M101" s="303">
        <f t="shared" si="40"/>
        <v>-52764</v>
      </c>
      <c r="N101" s="303">
        <f t="shared" si="40"/>
        <v>-56252</v>
      </c>
      <c r="O101" s="303">
        <f t="shared" si="40"/>
        <v>-59740</v>
      </c>
      <c r="P101" s="303">
        <f t="shared" si="40"/>
        <v>-59746.3</v>
      </c>
      <c r="Q101" s="303">
        <f t="shared" si="40"/>
        <v>-59746.3</v>
      </c>
      <c r="R101" s="303">
        <f t="shared" si="40"/>
        <v>-59746.3</v>
      </c>
      <c r="S101" s="303">
        <f t="shared" si="40"/>
        <v>-61786.3</v>
      </c>
      <c r="T101" s="303">
        <f t="shared" si="40"/>
        <v>-53286.3</v>
      </c>
      <c r="U101" s="303"/>
      <c r="V101" s="303">
        <f t="shared" si="40"/>
        <v>-36286.300000000003</v>
      </c>
      <c r="W101" s="118"/>
      <c r="X101" s="118"/>
      <c r="Y101" s="118"/>
    </row>
    <row r="102" spans="1:25" s="94" customFormat="1" x14ac:dyDescent="0.25">
      <c r="W102" s="118"/>
      <c r="X102" s="118"/>
      <c r="Y102" s="118"/>
    </row>
    <row r="103" spans="1:25" s="94" customFormat="1" x14ac:dyDescent="0.25">
      <c r="A103" s="222" t="s">
        <v>367</v>
      </c>
      <c r="B103" s="118">
        <f>8500+8500+(8500-2000)</f>
        <v>23500</v>
      </c>
      <c r="W103" s="118"/>
      <c r="X103" s="118"/>
      <c r="Y103" s="118"/>
    </row>
    <row r="104" spans="1:25" s="94" customFormat="1" x14ac:dyDescent="0.25">
      <c r="A104" s="405" t="s">
        <v>406</v>
      </c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08"/>
      <c r="X104" s="408"/>
    </row>
    <row r="105" spans="1:25" s="94" customFormat="1" x14ac:dyDescent="0.25">
      <c r="A105" s="405" t="s">
        <v>407</v>
      </c>
      <c r="B105" s="408">
        <v>0</v>
      </c>
      <c r="C105" s="408">
        <f>B105+1</f>
        <v>1</v>
      </c>
      <c r="D105" s="408">
        <f t="shared" ref="D105:W105" si="41">C105+1</f>
        <v>2</v>
      </c>
      <c r="E105" s="408">
        <f t="shared" si="41"/>
        <v>3</v>
      </c>
      <c r="F105" s="408">
        <f t="shared" si="41"/>
        <v>4</v>
      </c>
      <c r="G105" s="408">
        <f t="shared" si="41"/>
        <v>5</v>
      </c>
      <c r="H105" s="408">
        <f t="shared" si="41"/>
        <v>6</v>
      </c>
      <c r="I105" s="408">
        <f t="shared" si="41"/>
        <v>7</v>
      </c>
      <c r="J105" s="408">
        <f t="shared" si="41"/>
        <v>8</v>
      </c>
      <c r="K105" s="408">
        <f t="shared" si="41"/>
        <v>9</v>
      </c>
      <c r="L105" s="408">
        <f t="shared" si="41"/>
        <v>10</v>
      </c>
      <c r="M105" s="408">
        <f t="shared" si="41"/>
        <v>11</v>
      </c>
      <c r="N105" s="408">
        <f t="shared" si="41"/>
        <v>12</v>
      </c>
      <c r="O105" s="408">
        <f t="shared" si="41"/>
        <v>13</v>
      </c>
      <c r="P105" s="408">
        <f t="shared" si="41"/>
        <v>14</v>
      </c>
      <c r="Q105" s="408">
        <f t="shared" si="41"/>
        <v>15</v>
      </c>
      <c r="R105" s="408">
        <f t="shared" si="41"/>
        <v>16</v>
      </c>
      <c r="S105" s="408">
        <f t="shared" si="41"/>
        <v>17</v>
      </c>
      <c r="T105" s="408">
        <f t="shared" si="41"/>
        <v>18</v>
      </c>
      <c r="U105" s="408">
        <f t="shared" si="41"/>
        <v>19</v>
      </c>
      <c r="V105" s="408">
        <f t="shared" si="41"/>
        <v>20</v>
      </c>
      <c r="W105" s="408">
        <f t="shared" si="41"/>
        <v>21</v>
      </c>
      <c r="X105" s="408"/>
    </row>
    <row r="106" spans="1:25" s="94" customFormat="1" x14ac:dyDescent="0.25">
      <c r="A106" s="405"/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08"/>
      <c r="X106" s="408"/>
    </row>
    <row r="107" spans="1:25" s="410" customFormat="1" ht="12" x14ac:dyDescent="0.2">
      <c r="A107" s="410" t="s">
        <v>408</v>
      </c>
      <c r="B107" s="412">
        <f>B35</f>
        <v>947000</v>
      </c>
      <c r="C107" s="412">
        <f t="shared" ref="C107:V107" si="42">C35</f>
        <v>938072</v>
      </c>
      <c r="D107" s="412">
        <f t="shared" si="42"/>
        <v>939397</v>
      </c>
      <c r="E107" s="412">
        <f t="shared" si="42"/>
        <v>939397</v>
      </c>
      <c r="F107" s="412">
        <f t="shared" si="42"/>
        <v>935056</v>
      </c>
      <c r="G107" s="412">
        <f t="shared" si="42"/>
        <v>935006.3</v>
      </c>
      <c r="H107" s="412">
        <f t="shared" si="42"/>
        <v>935000</v>
      </c>
      <c r="I107" s="412">
        <f t="shared" si="42"/>
        <v>935800</v>
      </c>
      <c r="J107" s="412">
        <f t="shared" si="42"/>
        <v>937840</v>
      </c>
      <c r="K107" s="412">
        <f t="shared" si="42"/>
        <v>884000</v>
      </c>
      <c r="L107" s="412">
        <f t="shared" si="42"/>
        <v>884800</v>
      </c>
      <c r="M107" s="412">
        <f t="shared" si="42"/>
        <v>886840</v>
      </c>
      <c r="N107" s="412">
        <f t="shared" si="42"/>
        <v>884000</v>
      </c>
      <c r="O107" s="412">
        <f t="shared" si="42"/>
        <v>884800</v>
      </c>
      <c r="P107" s="412">
        <f t="shared" si="42"/>
        <v>886840</v>
      </c>
      <c r="Q107" s="412">
        <f t="shared" si="42"/>
        <v>884000</v>
      </c>
      <c r="R107" s="412">
        <f t="shared" si="42"/>
        <v>884800</v>
      </c>
      <c r="S107" s="412">
        <f t="shared" si="42"/>
        <v>886840</v>
      </c>
      <c r="T107" s="412">
        <f t="shared" si="42"/>
        <v>884000</v>
      </c>
      <c r="U107" s="412">
        <f t="shared" si="42"/>
        <v>884000</v>
      </c>
      <c r="V107" s="412">
        <f t="shared" si="42"/>
        <v>884000</v>
      </c>
      <c r="W107" s="414" t="s">
        <v>82</v>
      </c>
      <c r="X107" s="413">
        <f>SUM(B107:W107)</f>
        <v>19061488.300000001</v>
      </c>
    </row>
    <row r="108" spans="1:25" s="410" customFormat="1" ht="12" x14ac:dyDescent="0.2">
      <c r="A108" s="410" t="s">
        <v>409</v>
      </c>
      <c r="C108" s="412">
        <f>B40</f>
        <v>2805000</v>
      </c>
      <c r="D108" s="412">
        <f t="shared" ref="D108:V108" si="43">C40</f>
        <v>2805000</v>
      </c>
      <c r="E108" s="412">
        <f t="shared" si="43"/>
        <v>2805000</v>
      </c>
      <c r="F108" s="412">
        <f t="shared" si="43"/>
        <v>2805000</v>
      </c>
      <c r="G108" s="412">
        <f t="shared" si="43"/>
        <v>2805000</v>
      </c>
      <c r="H108" s="412">
        <f t="shared" si="43"/>
        <v>2805000</v>
      </c>
      <c r="I108" s="412">
        <f t="shared" si="43"/>
        <v>2805000</v>
      </c>
      <c r="J108" s="412">
        <f t="shared" si="43"/>
        <v>2805000</v>
      </c>
      <c r="K108" s="412">
        <f t="shared" si="43"/>
        <v>2807040</v>
      </c>
      <c r="L108" s="412">
        <f t="shared" si="43"/>
        <v>2813500</v>
      </c>
      <c r="M108" s="412">
        <f t="shared" si="43"/>
        <v>2813500</v>
      </c>
      <c r="N108" s="412">
        <f t="shared" si="43"/>
        <v>2815540</v>
      </c>
      <c r="O108" s="412">
        <f t="shared" si="43"/>
        <v>2813500</v>
      </c>
      <c r="P108" s="412">
        <f t="shared" si="43"/>
        <v>2813500</v>
      </c>
      <c r="Q108" s="412">
        <f t="shared" si="43"/>
        <v>2815540</v>
      </c>
      <c r="R108" s="412">
        <f t="shared" si="43"/>
        <v>2813500</v>
      </c>
      <c r="S108" s="412">
        <f t="shared" si="43"/>
        <v>2813500</v>
      </c>
      <c r="T108" s="412">
        <f t="shared" si="43"/>
        <v>2815540</v>
      </c>
      <c r="U108" s="412">
        <f t="shared" si="43"/>
        <v>2813500</v>
      </c>
      <c r="V108" s="412">
        <f t="shared" si="43"/>
        <v>2813500</v>
      </c>
      <c r="W108" s="413">
        <f>V89</f>
        <v>0</v>
      </c>
      <c r="X108" s="413">
        <f>SUM(B108:W108)</f>
        <v>56201660</v>
      </c>
    </row>
    <row r="109" spans="1:25" s="411" customFormat="1" ht="11.25" x14ac:dyDescent="0.2">
      <c r="A109" s="411" t="s">
        <v>410</v>
      </c>
      <c r="B109" s="412">
        <f>B108-B107</f>
        <v>-947000</v>
      </c>
      <c r="C109" s="412">
        <f t="shared" ref="C109:V109" si="44">C108-C107</f>
        <v>1866928</v>
      </c>
      <c r="D109" s="412">
        <f t="shared" si="44"/>
        <v>1865603</v>
      </c>
      <c r="E109" s="412">
        <f t="shared" si="44"/>
        <v>1865603</v>
      </c>
      <c r="F109" s="412">
        <f t="shared" si="44"/>
        <v>1869944</v>
      </c>
      <c r="G109" s="412">
        <f t="shared" si="44"/>
        <v>1869993.7</v>
      </c>
      <c r="H109" s="412">
        <f t="shared" si="44"/>
        <v>1870000</v>
      </c>
      <c r="I109" s="412">
        <f t="shared" si="44"/>
        <v>1869200</v>
      </c>
      <c r="J109" s="412">
        <f t="shared" si="44"/>
        <v>1867160</v>
      </c>
      <c r="K109" s="412">
        <f t="shared" si="44"/>
        <v>1923040</v>
      </c>
      <c r="L109" s="412">
        <f t="shared" si="44"/>
        <v>1928700</v>
      </c>
      <c r="M109" s="412">
        <f t="shared" si="44"/>
        <v>1926660</v>
      </c>
      <c r="N109" s="412">
        <f t="shared" si="44"/>
        <v>1931540</v>
      </c>
      <c r="O109" s="412">
        <f t="shared" si="44"/>
        <v>1928700</v>
      </c>
      <c r="P109" s="412">
        <f t="shared" si="44"/>
        <v>1926660</v>
      </c>
      <c r="Q109" s="412">
        <f t="shared" si="44"/>
        <v>1931540</v>
      </c>
      <c r="R109" s="412">
        <f t="shared" si="44"/>
        <v>1928700</v>
      </c>
      <c r="S109" s="412">
        <f t="shared" si="44"/>
        <v>1926660</v>
      </c>
      <c r="T109" s="412">
        <f t="shared" si="44"/>
        <v>1931540</v>
      </c>
      <c r="U109" s="412">
        <f t="shared" si="44"/>
        <v>1929500</v>
      </c>
      <c r="V109" s="412">
        <f t="shared" si="44"/>
        <v>1929500</v>
      </c>
      <c r="W109" s="412">
        <v>0</v>
      </c>
      <c r="X109" s="412">
        <f>SUM(B109:W109)</f>
        <v>37140171.700000003</v>
      </c>
    </row>
    <row r="110" spans="1:25" s="417" customFormat="1" ht="9" x14ac:dyDescent="0.15">
      <c r="A110" s="417" t="s">
        <v>41</v>
      </c>
      <c r="B110" s="416">
        <f>B109</f>
        <v>-947000</v>
      </c>
      <c r="C110" s="416">
        <f>B110+C109</f>
        <v>919928</v>
      </c>
      <c r="D110" s="416">
        <f t="shared" ref="D110:W110" si="45">C110+D109</f>
        <v>2785531</v>
      </c>
      <c r="E110" s="416">
        <f t="shared" si="45"/>
        <v>4651134</v>
      </c>
      <c r="F110" s="416">
        <f t="shared" si="45"/>
        <v>6521078</v>
      </c>
      <c r="G110" s="416">
        <f t="shared" si="45"/>
        <v>8391071.6999999993</v>
      </c>
      <c r="H110" s="416">
        <f t="shared" si="45"/>
        <v>10261071.699999999</v>
      </c>
      <c r="I110" s="416">
        <f t="shared" si="45"/>
        <v>12130271.699999999</v>
      </c>
      <c r="J110" s="416">
        <f t="shared" si="45"/>
        <v>13997431.699999999</v>
      </c>
      <c r="K110" s="416">
        <f t="shared" si="45"/>
        <v>15920471.699999999</v>
      </c>
      <c r="L110" s="416">
        <f t="shared" si="45"/>
        <v>17849171.699999999</v>
      </c>
      <c r="M110" s="416">
        <f t="shared" si="45"/>
        <v>19775831.699999999</v>
      </c>
      <c r="N110" s="416">
        <f t="shared" si="45"/>
        <v>21707371.699999999</v>
      </c>
      <c r="O110" s="416">
        <f t="shared" si="45"/>
        <v>23636071.699999999</v>
      </c>
      <c r="P110" s="416">
        <f t="shared" si="45"/>
        <v>25562731.699999999</v>
      </c>
      <c r="Q110" s="416">
        <f t="shared" si="45"/>
        <v>27494271.699999999</v>
      </c>
      <c r="R110" s="416">
        <f t="shared" si="45"/>
        <v>29422971.699999999</v>
      </c>
      <c r="S110" s="416">
        <f t="shared" si="45"/>
        <v>31349631.699999999</v>
      </c>
      <c r="T110" s="416">
        <f t="shared" si="45"/>
        <v>33281171.699999999</v>
      </c>
      <c r="U110" s="416">
        <f t="shared" si="45"/>
        <v>35210671.700000003</v>
      </c>
      <c r="V110" s="416">
        <f t="shared" si="45"/>
        <v>37140171.700000003</v>
      </c>
      <c r="W110" s="416">
        <f t="shared" si="45"/>
        <v>37140171.700000003</v>
      </c>
    </row>
    <row r="111" spans="1:25" s="409" customFormat="1" ht="11.25" x14ac:dyDescent="0.2">
      <c r="B111" s="409">
        <f>IF($C$112=B110,B105,0)</f>
        <v>0</v>
      </c>
      <c r="C111" s="409">
        <f t="shared" ref="C111:V111" si="46">IF($C$112=C110,C105,0)</f>
        <v>0</v>
      </c>
      <c r="D111" s="409">
        <f t="shared" si="46"/>
        <v>0</v>
      </c>
      <c r="E111" s="409">
        <f t="shared" si="46"/>
        <v>0</v>
      </c>
      <c r="F111" s="409">
        <f t="shared" si="46"/>
        <v>0</v>
      </c>
      <c r="G111" s="409">
        <f t="shared" si="46"/>
        <v>0</v>
      </c>
      <c r="H111" s="409">
        <f t="shared" si="46"/>
        <v>0</v>
      </c>
      <c r="I111" s="409">
        <f t="shared" si="46"/>
        <v>0</v>
      </c>
      <c r="J111" s="409">
        <f t="shared" si="46"/>
        <v>0</v>
      </c>
      <c r="K111" s="409">
        <f t="shared" si="46"/>
        <v>0</v>
      </c>
      <c r="L111" s="409">
        <f t="shared" si="46"/>
        <v>0</v>
      </c>
      <c r="M111" s="409">
        <f t="shared" si="46"/>
        <v>0</v>
      </c>
      <c r="N111" s="409">
        <f t="shared" si="46"/>
        <v>0</v>
      </c>
      <c r="O111" s="409">
        <f t="shared" si="46"/>
        <v>0</v>
      </c>
      <c r="P111" s="409">
        <f t="shared" si="46"/>
        <v>0</v>
      </c>
      <c r="Q111" s="409">
        <f t="shared" si="46"/>
        <v>0</v>
      </c>
      <c r="R111" s="409">
        <f t="shared" si="46"/>
        <v>0</v>
      </c>
      <c r="S111" s="409">
        <f t="shared" si="46"/>
        <v>0</v>
      </c>
      <c r="T111" s="409">
        <f t="shared" si="46"/>
        <v>0</v>
      </c>
      <c r="U111" s="409">
        <f t="shared" si="46"/>
        <v>0</v>
      </c>
      <c r="V111" s="409">
        <f t="shared" si="46"/>
        <v>0</v>
      </c>
      <c r="W111" s="409">
        <f>IF($C$53=W110,W$4,0)</f>
        <v>0</v>
      </c>
    </row>
    <row r="112" spans="1:25" s="410" customFormat="1" ht="12" x14ac:dyDescent="0.2">
      <c r="A112" s="410" t="s">
        <v>411</v>
      </c>
      <c r="C112" s="416">
        <f>MIN(B110:W110)</f>
        <v>-947000</v>
      </c>
      <c r="E112" s="410" t="s">
        <v>413</v>
      </c>
      <c r="G112" s="410">
        <f>MAX(B111:W111)</f>
        <v>0</v>
      </c>
      <c r="H112" s="410" t="s">
        <v>414</v>
      </c>
    </row>
    <row r="113" spans="1:25" s="410" customFormat="1" ht="12" x14ac:dyDescent="0.2">
      <c r="A113" s="410" t="s">
        <v>412</v>
      </c>
      <c r="C113" s="410">
        <f>-C112*1.2</f>
        <v>1136400</v>
      </c>
      <c r="E113" s="410" t="s">
        <v>415</v>
      </c>
    </row>
    <row r="114" spans="1:25" s="94" customFormat="1" x14ac:dyDescent="0.25">
      <c r="W114" s="118"/>
      <c r="X114" s="118"/>
      <c r="Y114" s="118"/>
    </row>
    <row r="115" spans="1:25" s="94" customFormat="1" x14ac:dyDescent="0.25">
      <c r="W115" s="118"/>
      <c r="X115" s="118"/>
      <c r="Y115" s="118"/>
    </row>
    <row r="116" spans="1:25" s="94" customFormat="1" x14ac:dyDescent="0.25">
      <c r="W116" s="118"/>
      <c r="X116" s="118"/>
      <c r="Y116" s="118"/>
    </row>
    <row r="117" spans="1:25" s="94" customFormat="1" x14ac:dyDescent="0.25">
      <c r="W117" s="118"/>
      <c r="X117" s="118"/>
      <c r="Y117" s="118"/>
    </row>
    <row r="118" spans="1:25" s="94" customFormat="1" x14ac:dyDescent="0.25">
      <c r="W118" s="118"/>
      <c r="X118" s="118"/>
      <c r="Y118" s="118"/>
    </row>
    <row r="119" spans="1:25" s="94" customFormat="1" x14ac:dyDescent="0.25">
      <c r="W119" s="118"/>
      <c r="X119" s="118"/>
      <c r="Y119" s="118"/>
    </row>
    <row r="120" spans="1:25" s="94" customFormat="1" x14ac:dyDescent="0.25">
      <c r="W120" s="118"/>
      <c r="X120" s="118"/>
      <c r="Y120" s="118"/>
    </row>
    <row r="121" spans="1:25" s="94" customFormat="1" x14ac:dyDescent="0.25">
      <c r="W121" s="118"/>
      <c r="X121" s="118"/>
      <c r="Y121" s="118"/>
    </row>
    <row r="122" spans="1:25" s="94" customFormat="1" x14ac:dyDescent="0.25">
      <c r="W122" s="118"/>
      <c r="X122" s="118"/>
      <c r="Y122" s="118"/>
    </row>
    <row r="123" spans="1:25" s="94" customFormat="1" x14ac:dyDescent="0.25">
      <c r="W123" s="118"/>
      <c r="X123" s="118"/>
      <c r="Y123" s="118"/>
    </row>
    <row r="124" spans="1:25" s="94" customFormat="1" x14ac:dyDescent="0.25">
      <c r="W124" s="118"/>
      <c r="X124" s="118"/>
      <c r="Y124" s="118"/>
    </row>
    <row r="125" spans="1:25" s="94" customFormat="1" x14ac:dyDescent="0.25">
      <c r="W125" s="118"/>
      <c r="X125" s="118"/>
      <c r="Y125" s="118"/>
    </row>
    <row r="126" spans="1:25" s="94" customFormat="1" x14ac:dyDescent="0.25">
      <c r="W126" s="118"/>
      <c r="X126" s="118"/>
      <c r="Y126" s="118"/>
    </row>
    <row r="127" spans="1:25" s="94" customFormat="1" x14ac:dyDescent="0.25">
      <c r="W127" s="118"/>
      <c r="X127" s="118"/>
      <c r="Y127" s="118"/>
    </row>
    <row r="128" spans="1:25" s="94" customFormat="1" x14ac:dyDescent="0.25">
      <c r="W128" s="118"/>
      <c r="X128" s="118"/>
      <c r="Y128" s="118"/>
    </row>
    <row r="129" spans="23:25" s="94" customFormat="1" x14ac:dyDescent="0.25">
      <c r="W129" s="118"/>
      <c r="X129" s="118"/>
      <c r="Y129" s="118"/>
    </row>
  </sheetData>
  <mergeCells count="14">
    <mergeCell ref="B92:S92"/>
    <mergeCell ref="Y86:Z89"/>
    <mergeCell ref="B91:M91"/>
    <mergeCell ref="N91:O91"/>
    <mergeCell ref="R91:S91"/>
    <mergeCell ref="T91:V91"/>
    <mergeCell ref="K98:V98"/>
    <mergeCell ref="T93:V93"/>
    <mergeCell ref="D96:E96"/>
    <mergeCell ref="G96:H96"/>
    <mergeCell ref="I96:J96"/>
    <mergeCell ref="K96:V96"/>
    <mergeCell ref="B97:J97"/>
    <mergeCell ref="K97:V9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opLeftCell="A34" workbookViewId="0">
      <selection activeCell="K24" sqref="K24"/>
    </sheetView>
  </sheetViews>
  <sheetFormatPr defaultColWidth="8.85546875" defaultRowHeight="15" x14ac:dyDescent="0.25"/>
  <cols>
    <col min="1" max="1" width="27.140625" customWidth="1"/>
    <col min="2" max="5" width="7.7109375" style="21" customWidth="1"/>
    <col min="6" max="6" width="7.7109375" style="307" customWidth="1"/>
    <col min="7" max="11" width="7.7109375" style="21" customWidth="1"/>
    <col min="12" max="15" width="7.7109375" style="37" customWidth="1"/>
    <col min="16" max="17" width="7.28515625" style="37" customWidth="1"/>
    <col min="18" max="18" width="7" style="37" customWidth="1"/>
    <col min="19" max="19" width="7.7109375" style="37" customWidth="1"/>
    <col min="20" max="20" width="11.28515625" style="37" customWidth="1"/>
    <col min="21" max="22" width="7.85546875" style="37" customWidth="1"/>
    <col min="23" max="23" width="9.7109375" style="21" customWidth="1"/>
    <col min="24" max="24" width="10.28515625" style="21" customWidth="1"/>
    <col min="25" max="16384" width="8.85546875" style="94"/>
  </cols>
  <sheetData>
    <row r="1" spans="1:24" x14ac:dyDescent="0.25">
      <c r="A1" s="47" t="s">
        <v>45</v>
      </c>
      <c r="W1" s="65" t="s">
        <v>38</v>
      </c>
      <c r="X1" s="66">
        <v>0.02</v>
      </c>
    </row>
    <row r="2" spans="1:24" s="312" customFormat="1" x14ac:dyDescent="0.25">
      <c r="A2" s="226" t="s">
        <v>296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8"/>
      <c r="X2" s="228"/>
    </row>
    <row r="3" spans="1:24" ht="15.75" x14ac:dyDescent="0.25">
      <c r="A3" s="38"/>
      <c r="B3" s="203">
        <v>1</v>
      </c>
      <c r="C3" s="203">
        <f>B3+1</f>
        <v>2</v>
      </c>
      <c r="D3" s="203">
        <f t="shared" ref="D3:V3" si="0">C3+1</f>
        <v>3</v>
      </c>
      <c r="E3" s="203">
        <f t="shared" si="0"/>
        <v>4</v>
      </c>
      <c r="F3" s="203">
        <f t="shared" si="0"/>
        <v>5</v>
      </c>
      <c r="G3" s="203">
        <f t="shared" si="0"/>
        <v>6</v>
      </c>
      <c r="H3" s="203">
        <f t="shared" si="0"/>
        <v>7</v>
      </c>
      <c r="I3" s="203">
        <f t="shared" si="0"/>
        <v>8</v>
      </c>
      <c r="J3" s="203">
        <f t="shared" si="0"/>
        <v>9</v>
      </c>
      <c r="K3" s="203">
        <f t="shared" si="0"/>
        <v>10</v>
      </c>
      <c r="L3" s="203">
        <f t="shared" si="0"/>
        <v>11</v>
      </c>
      <c r="M3" s="203">
        <f t="shared" si="0"/>
        <v>12</v>
      </c>
      <c r="N3" s="204">
        <f t="shared" si="0"/>
        <v>13</v>
      </c>
      <c r="O3" s="204">
        <f t="shared" si="0"/>
        <v>14</v>
      </c>
      <c r="P3" s="205">
        <f t="shared" si="0"/>
        <v>15</v>
      </c>
      <c r="Q3" s="205">
        <f t="shared" si="0"/>
        <v>16</v>
      </c>
      <c r="R3" s="206">
        <f t="shared" si="0"/>
        <v>17</v>
      </c>
      <c r="S3" s="206">
        <f t="shared" si="0"/>
        <v>18</v>
      </c>
      <c r="T3" s="207">
        <f t="shared" si="0"/>
        <v>19</v>
      </c>
      <c r="U3" s="207">
        <f t="shared" si="0"/>
        <v>20</v>
      </c>
      <c r="V3" s="207">
        <f t="shared" si="0"/>
        <v>21</v>
      </c>
      <c r="W3" s="39" t="s">
        <v>39</v>
      </c>
      <c r="X3" s="39" t="s">
        <v>40</v>
      </c>
    </row>
    <row r="4" spans="1:24" ht="30" x14ac:dyDescent="0.25">
      <c r="A4" s="219" t="s">
        <v>89</v>
      </c>
      <c r="B4" s="67"/>
      <c r="C4" s="67"/>
      <c r="D4" s="67"/>
      <c r="E4" s="67"/>
      <c r="F4" s="308"/>
      <c r="G4" s="67"/>
      <c r="H4" s="67"/>
      <c r="I4" s="67"/>
      <c r="J4" s="67"/>
      <c r="K4" s="39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9"/>
      <c r="X4" s="39"/>
    </row>
    <row r="5" spans="1:24" s="307" customFormat="1" ht="30" x14ac:dyDescent="0.2">
      <c r="A5" s="54" t="s">
        <v>292</v>
      </c>
      <c r="B5" s="217">
        <f>ИсхСел!$I$3</f>
        <v>4397</v>
      </c>
      <c r="C5" s="217">
        <f>ИсхСел!$I$3</f>
        <v>4397</v>
      </c>
      <c r="D5" s="217">
        <f>ИсхСел!$I$3</f>
        <v>4397</v>
      </c>
      <c r="E5" s="217">
        <f>ИсхСел!$I$3</f>
        <v>4397</v>
      </c>
      <c r="F5" s="217">
        <f>ИсхСел!$I$3</f>
        <v>4397</v>
      </c>
      <c r="G5" s="217">
        <f>ИсхСел!$I$3</f>
        <v>4397</v>
      </c>
      <c r="H5" s="217">
        <f>ИсхСел!$I$3</f>
        <v>4397</v>
      </c>
      <c r="I5" s="217">
        <f>ИсхСел!$I$3</f>
        <v>4397</v>
      </c>
      <c r="J5" s="217">
        <f>ИсхСел!$I$3</f>
        <v>4397</v>
      </c>
      <c r="K5" s="217">
        <f>ИсхСел!$I$3</f>
        <v>4397</v>
      </c>
      <c r="L5" s="217">
        <f>ИсхСел!$I$3</f>
        <v>4397</v>
      </c>
      <c r="M5" s="217">
        <f>ИсхСел!$I$3</f>
        <v>4397</v>
      </c>
      <c r="N5" s="39"/>
      <c r="O5" s="39"/>
      <c r="P5" s="40"/>
      <c r="Q5" s="40"/>
      <c r="R5" s="40"/>
      <c r="S5" s="40"/>
      <c r="T5" s="40"/>
      <c r="U5" s="40"/>
      <c r="V5" s="40"/>
      <c r="W5" s="218">
        <f>SUM(B5:V5)</f>
        <v>52764</v>
      </c>
      <c r="X5" s="41">
        <f>NPV($X$1,B5:V5)</f>
        <v>46499.775348372852</v>
      </c>
    </row>
    <row r="6" spans="1:24" s="307" customFormat="1" ht="45" x14ac:dyDescent="0.2">
      <c r="A6" s="54" t="s">
        <v>293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>
        <f>ИсхСел!$I$4</f>
        <v>3488</v>
      </c>
      <c r="O6" s="218">
        <f>ИсхСел!$I$4</f>
        <v>3488</v>
      </c>
      <c r="P6" s="40"/>
      <c r="Q6" s="40"/>
      <c r="R6" s="40"/>
      <c r="S6" s="40"/>
      <c r="T6" s="40"/>
      <c r="U6" s="40"/>
      <c r="V6" s="40"/>
      <c r="W6" s="218">
        <f t="shared" ref="W6:W11" si="1">SUM(B6:V6)</f>
        <v>6976</v>
      </c>
      <c r="X6" s="41"/>
    </row>
    <row r="7" spans="1:24" s="307" customFormat="1" ht="30" x14ac:dyDescent="0.2">
      <c r="A7" s="54" t="s">
        <v>294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39"/>
      <c r="O7" s="39"/>
      <c r="P7" s="238">
        <f>ИсхСел!I5</f>
        <v>6.3</v>
      </c>
      <c r="Q7" s="40"/>
      <c r="R7" s="40"/>
      <c r="S7" s="40"/>
      <c r="T7" s="40"/>
      <c r="U7" s="40"/>
      <c r="V7" s="40"/>
      <c r="W7" s="218">
        <f t="shared" si="1"/>
        <v>6.3</v>
      </c>
      <c r="X7" s="41"/>
    </row>
    <row r="8" spans="1:24" s="307" customFormat="1" ht="30" x14ac:dyDescent="0.2">
      <c r="A8" s="219" t="s">
        <v>298</v>
      </c>
      <c r="B8" s="216">
        <f>-B5-B6-B7</f>
        <v>-4397</v>
      </c>
      <c r="C8" s="216">
        <f t="shared" ref="C8:V8" si="2">-C5-C6-C7</f>
        <v>-4397</v>
      </c>
      <c r="D8" s="216">
        <f t="shared" si="2"/>
        <v>-4397</v>
      </c>
      <c r="E8" s="216">
        <f t="shared" si="2"/>
        <v>-4397</v>
      </c>
      <c r="F8" s="216">
        <f t="shared" si="2"/>
        <v>-4397</v>
      </c>
      <c r="G8" s="216">
        <f t="shared" si="2"/>
        <v>-4397</v>
      </c>
      <c r="H8" s="216">
        <f t="shared" si="2"/>
        <v>-4397</v>
      </c>
      <c r="I8" s="216">
        <f t="shared" si="2"/>
        <v>-4397</v>
      </c>
      <c r="J8" s="216">
        <f t="shared" si="2"/>
        <v>-4397</v>
      </c>
      <c r="K8" s="216">
        <f t="shared" si="2"/>
        <v>-4397</v>
      </c>
      <c r="L8" s="216">
        <f t="shared" si="2"/>
        <v>-4397</v>
      </c>
      <c r="M8" s="216">
        <f t="shared" si="2"/>
        <v>-4397</v>
      </c>
      <c r="N8" s="216">
        <f t="shared" si="2"/>
        <v>-3488</v>
      </c>
      <c r="O8" s="216">
        <f t="shared" si="2"/>
        <v>-3488</v>
      </c>
      <c r="P8" s="216">
        <f t="shared" si="2"/>
        <v>-6.3</v>
      </c>
      <c r="Q8" s="216">
        <f t="shared" si="2"/>
        <v>0</v>
      </c>
      <c r="R8" s="216">
        <f t="shared" si="2"/>
        <v>0</v>
      </c>
      <c r="S8" s="216">
        <f t="shared" si="2"/>
        <v>0</v>
      </c>
      <c r="T8" s="216">
        <f t="shared" si="2"/>
        <v>0</v>
      </c>
      <c r="U8" s="216">
        <f t="shared" si="2"/>
        <v>0</v>
      </c>
      <c r="V8" s="216">
        <f t="shared" si="2"/>
        <v>0</v>
      </c>
      <c r="W8" s="221">
        <f>SUM(B8:V8)</f>
        <v>-59746.3</v>
      </c>
      <c r="X8" s="41">
        <f>NPV($X$1,B8:V8)</f>
        <v>-51844.261874414966</v>
      </c>
    </row>
    <row r="9" spans="1:24" s="307" customFormat="1" ht="30" x14ac:dyDescent="0.2">
      <c r="A9" s="219" t="s">
        <v>297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8">
        <f t="shared" si="1"/>
        <v>0</v>
      </c>
      <c r="X9" s="41"/>
    </row>
    <row r="10" spans="1:24" s="307" customFormat="1" ht="45" x14ac:dyDescent="0.2">
      <c r="A10" s="54" t="s">
        <v>295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39"/>
      <c r="O10" s="39"/>
      <c r="P10" s="40"/>
      <c r="Q10" s="40"/>
      <c r="R10" s="40"/>
      <c r="S10" s="220">
        <f>ИсхСел!$I$6</f>
        <v>2040</v>
      </c>
      <c r="T10" s="40"/>
      <c r="U10" s="40"/>
      <c r="V10" s="40"/>
      <c r="W10" s="218">
        <f t="shared" si="1"/>
        <v>2040</v>
      </c>
      <c r="X10" s="41"/>
    </row>
    <row r="11" spans="1:24" s="307" customFormat="1" x14ac:dyDescent="0.2">
      <c r="A11" s="54" t="s">
        <v>299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39"/>
      <c r="O11" s="39"/>
      <c r="P11" s="40"/>
      <c r="Q11" s="40"/>
      <c r="R11" s="40"/>
      <c r="S11" s="220"/>
      <c r="T11" s="40">
        <f>ИсхСел!$K$7</f>
        <v>8500</v>
      </c>
      <c r="U11" s="40">
        <f>ИсхСел!$K$7</f>
        <v>8500</v>
      </c>
      <c r="V11" s="40">
        <f>ИсхСел!$K$7</f>
        <v>8500</v>
      </c>
      <c r="W11" s="218">
        <f t="shared" si="1"/>
        <v>25500</v>
      </c>
      <c r="X11" s="41"/>
    </row>
    <row r="12" spans="1:24" ht="45" x14ac:dyDescent="0.25">
      <c r="A12" s="219" t="s">
        <v>300</v>
      </c>
      <c r="B12" s="221">
        <f>B11-B10</f>
        <v>0</v>
      </c>
      <c r="C12" s="221">
        <f t="shared" ref="C12:V12" si="3">C11-C10</f>
        <v>0</v>
      </c>
      <c r="D12" s="221">
        <f t="shared" si="3"/>
        <v>0</v>
      </c>
      <c r="E12" s="221">
        <f t="shared" si="3"/>
        <v>0</v>
      </c>
      <c r="F12" s="216">
        <f t="shared" si="3"/>
        <v>0</v>
      </c>
      <c r="G12" s="221">
        <f t="shared" si="3"/>
        <v>0</v>
      </c>
      <c r="H12" s="221">
        <f t="shared" si="3"/>
        <v>0</v>
      </c>
      <c r="I12" s="221">
        <f t="shared" si="3"/>
        <v>0</v>
      </c>
      <c r="J12" s="221">
        <f t="shared" si="3"/>
        <v>0</v>
      </c>
      <c r="K12" s="221">
        <f t="shared" si="3"/>
        <v>0</v>
      </c>
      <c r="L12" s="221">
        <f t="shared" si="3"/>
        <v>0</v>
      </c>
      <c r="M12" s="221">
        <f t="shared" si="3"/>
        <v>0</v>
      </c>
      <c r="N12" s="221">
        <f t="shared" si="3"/>
        <v>0</v>
      </c>
      <c r="O12" s="221">
        <f t="shared" si="3"/>
        <v>0</v>
      </c>
      <c r="P12" s="221">
        <f t="shared" si="3"/>
        <v>0</v>
      </c>
      <c r="Q12" s="221">
        <f t="shared" si="3"/>
        <v>0</v>
      </c>
      <c r="R12" s="221">
        <f t="shared" si="3"/>
        <v>0</v>
      </c>
      <c r="S12" s="221">
        <f t="shared" si="3"/>
        <v>-2040</v>
      </c>
      <c r="T12" s="221">
        <f t="shared" si="3"/>
        <v>8500</v>
      </c>
      <c r="U12" s="221">
        <f t="shared" si="3"/>
        <v>8500</v>
      </c>
      <c r="V12" s="221">
        <f t="shared" si="3"/>
        <v>8500</v>
      </c>
      <c r="W12" s="221">
        <f>SUM(B12:V12)</f>
        <v>23460</v>
      </c>
      <c r="X12" s="41">
        <f>NPV($X$1,B12:V12)</f>
        <v>15734.68710710262</v>
      </c>
    </row>
    <row r="13" spans="1:24" ht="30" x14ac:dyDescent="0.25">
      <c r="A13" s="219" t="s">
        <v>301</v>
      </c>
      <c r="B13" s="221">
        <f t="shared" ref="B13:V13" si="4">B8+B12</f>
        <v>-4397</v>
      </c>
      <c r="C13" s="221">
        <f t="shared" si="4"/>
        <v>-4397</v>
      </c>
      <c r="D13" s="221">
        <f t="shared" si="4"/>
        <v>-4397</v>
      </c>
      <c r="E13" s="221">
        <f t="shared" si="4"/>
        <v>-4397</v>
      </c>
      <c r="F13" s="216">
        <f t="shared" si="4"/>
        <v>-4397</v>
      </c>
      <c r="G13" s="221">
        <f t="shared" si="4"/>
        <v>-4397</v>
      </c>
      <c r="H13" s="221">
        <f t="shared" si="4"/>
        <v>-4397</v>
      </c>
      <c r="I13" s="221">
        <f t="shared" si="4"/>
        <v>-4397</v>
      </c>
      <c r="J13" s="221">
        <f t="shared" si="4"/>
        <v>-4397</v>
      </c>
      <c r="K13" s="221">
        <f t="shared" si="4"/>
        <v>-4397</v>
      </c>
      <c r="L13" s="221">
        <f t="shared" si="4"/>
        <v>-4397</v>
      </c>
      <c r="M13" s="221">
        <f t="shared" si="4"/>
        <v>-4397</v>
      </c>
      <c r="N13" s="221">
        <f t="shared" si="4"/>
        <v>-3488</v>
      </c>
      <c r="O13" s="221">
        <f t="shared" si="4"/>
        <v>-3488</v>
      </c>
      <c r="P13" s="221">
        <f t="shared" si="4"/>
        <v>-6.3</v>
      </c>
      <c r="Q13" s="221">
        <f t="shared" si="4"/>
        <v>0</v>
      </c>
      <c r="R13" s="221">
        <f t="shared" si="4"/>
        <v>0</v>
      </c>
      <c r="S13" s="221">
        <f t="shared" si="4"/>
        <v>-2040</v>
      </c>
      <c r="T13" s="221">
        <f t="shared" si="4"/>
        <v>8500</v>
      </c>
      <c r="U13" s="221">
        <f t="shared" si="4"/>
        <v>8500</v>
      </c>
      <c r="V13" s="221">
        <f t="shared" si="4"/>
        <v>8500</v>
      </c>
      <c r="W13" s="221">
        <f>SUM(B13:V13)</f>
        <v>-36286.300000000003</v>
      </c>
      <c r="X13" s="41"/>
    </row>
    <row r="14" spans="1:24" x14ac:dyDescent="0.25">
      <c r="A14" s="54" t="s">
        <v>41</v>
      </c>
      <c r="B14" s="218">
        <f>B13</f>
        <v>-4397</v>
      </c>
      <c r="C14" s="218">
        <f>B14+C13</f>
        <v>-8794</v>
      </c>
      <c r="D14" s="218">
        <f t="shared" ref="D14:V14" si="5">C14+D13</f>
        <v>-13191</v>
      </c>
      <c r="E14" s="218">
        <f t="shared" si="5"/>
        <v>-17588</v>
      </c>
      <c r="F14" s="217">
        <f t="shared" si="5"/>
        <v>-21985</v>
      </c>
      <c r="G14" s="218">
        <f t="shared" si="5"/>
        <v>-26382</v>
      </c>
      <c r="H14" s="218">
        <f t="shared" si="5"/>
        <v>-30779</v>
      </c>
      <c r="I14" s="218">
        <f t="shared" si="5"/>
        <v>-35176</v>
      </c>
      <c r="J14" s="218">
        <f t="shared" si="5"/>
        <v>-39573</v>
      </c>
      <c r="K14" s="218">
        <f t="shared" si="5"/>
        <v>-43970</v>
      </c>
      <c r="L14" s="218">
        <f t="shared" si="5"/>
        <v>-48367</v>
      </c>
      <c r="M14" s="218">
        <f t="shared" si="5"/>
        <v>-52764</v>
      </c>
      <c r="N14" s="218">
        <f t="shared" si="5"/>
        <v>-56252</v>
      </c>
      <c r="O14" s="218">
        <f t="shared" si="5"/>
        <v>-59740</v>
      </c>
      <c r="P14" s="218">
        <f t="shared" si="5"/>
        <v>-59746.3</v>
      </c>
      <c r="Q14" s="218">
        <f t="shared" si="5"/>
        <v>-59746.3</v>
      </c>
      <c r="R14" s="218">
        <f t="shared" si="5"/>
        <v>-59746.3</v>
      </c>
      <c r="S14" s="218">
        <f t="shared" si="5"/>
        <v>-61786.3</v>
      </c>
      <c r="T14" s="218">
        <f t="shared" si="5"/>
        <v>-53286.3</v>
      </c>
      <c r="U14" s="218">
        <f t="shared" si="5"/>
        <v>-44786.3</v>
      </c>
      <c r="V14" s="218">
        <f t="shared" si="5"/>
        <v>-36286.300000000003</v>
      </c>
      <c r="W14" s="218">
        <f>SUM(B14:V14)</f>
        <v>-834342.10000000021</v>
      </c>
      <c r="X14" s="41"/>
    </row>
    <row r="15" spans="1:24" ht="30" x14ac:dyDescent="0.25">
      <c r="A15" s="219" t="s">
        <v>50</v>
      </c>
      <c r="B15" s="95">
        <f t="shared" ref="B15:V15" si="6">B13/(1+$X$1)^B3</f>
        <v>-4310.7843137254904</v>
      </c>
      <c r="C15" s="95">
        <f t="shared" si="6"/>
        <v>-4226.2591311034221</v>
      </c>
      <c r="D15" s="95">
        <f t="shared" si="6"/>
        <v>-4143.3913050033552</v>
      </c>
      <c r="E15" s="95">
        <f t="shared" si="6"/>
        <v>-4062.1483382385832</v>
      </c>
      <c r="F15" s="309">
        <f t="shared" si="6"/>
        <v>-3982.4983708221403</v>
      </c>
      <c r="G15" s="95">
        <f t="shared" si="6"/>
        <v>-3904.4101674726862</v>
      </c>
      <c r="H15" s="95">
        <f t="shared" si="6"/>
        <v>-3827.8531053653796</v>
      </c>
      <c r="I15" s="95">
        <f t="shared" si="6"/>
        <v>-3752.7971621229208</v>
      </c>
      <c r="J15" s="95">
        <f t="shared" si="6"/>
        <v>-3679.2129040420791</v>
      </c>
      <c r="K15" s="95">
        <f t="shared" si="6"/>
        <v>-3607.0714745510577</v>
      </c>
      <c r="L15" s="95">
        <f t="shared" si="6"/>
        <v>-3536.3445828931945</v>
      </c>
      <c r="M15" s="95">
        <f t="shared" si="6"/>
        <v>-3467.004493032543</v>
      </c>
      <c r="N15" s="95">
        <f t="shared" si="6"/>
        <v>-2696.3374474792331</v>
      </c>
      <c r="O15" s="95">
        <f t="shared" si="6"/>
        <v>-2643.4680857639537</v>
      </c>
      <c r="P15" s="95">
        <f t="shared" si="6"/>
        <v>-4.6809927989276714</v>
      </c>
      <c r="Q15" s="95">
        <f t="shared" si="6"/>
        <v>0</v>
      </c>
      <c r="R15" s="95">
        <f t="shared" si="6"/>
        <v>0</v>
      </c>
      <c r="S15" s="95">
        <f t="shared" si="6"/>
        <v>-1428.3251249298717</v>
      </c>
      <c r="T15" s="95">
        <f t="shared" si="6"/>
        <v>5834.6614580468613</v>
      </c>
      <c r="U15" s="95">
        <f t="shared" si="6"/>
        <v>5720.2563314184908</v>
      </c>
      <c r="V15" s="95">
        <f t="shared" si="6"/>
        <v>5608.0944425671478</v>
      </c>
      <c r="W15" s="67">
        <f>SUM(B15:V15)</f>
        <v>-36109.574767312348</v>
      </c>
      <c r="X15" s="39" t="s">
        <v>48</v>
      </c>
    </row>
    <row r="16" spans="1:24" s="144" customFormat="1" ht="11.25" x14ac:dyDescent="0.2">
      <c r="A16" s="139" t="s">
        <v>42</v>
      </c>
      <c r="B16" s="140">
        <f>B15</f>
        <v>-4310.7843137254904</v>
      </c>
      <c r="C16" s="140">
        <f>B16+C15</f>
        <v>-8537.0434448289125</v>
      </c>
      <c r="D16" s="140">
        <f t="shared" ref="D16:V16" si="7">C16+D15</f>
        <v>-12680.434749832268</v>
      </c>
      <c r="E16" s="140">
        <f t="shared" si="7"/>
        <v>-16742.583088070853</v>
      </c>
      <c r="F16" s="140">
        <f t="shared" si="7"/>
        <v>-20725.081458892993</v>
      </c>
      <c r="G16" s="140">
        <f t="shared" si="7"/>
        <v>-24629.491626365678</v>
      </c>
      <c r="H16" s="140">
        <f t="shared" si="7"/>
        <v>-28457.344731731057</v>
      </c>
      <c r="I16" s="140">
        <f t="shared" si="7"/>
        <v>-32210.141893853979</v>
      </c>
      <c r="J16" s="140">
        <f t="shared" si="7"/>
        <v>-35889.354797896056</v>
      </c>
      <c r="K16" s="140">
        <f t="shared" si="7"/>
        <v>-39496.426272447112</v>
      </c>
      <c r="L16" s="140">
        <f t="shared" si="7"/>
        <v>-43032.770855340306</v>
      </c>
      <c r="M16" s="140">
        <f t="shared" si="7"/>
        <v>-46499.775348372852</v>
      </c>
      <c r="N16" s="140">
        <f t="shared" si="7"/>
        <v>-49196.112795852088</v>
      </c>
      <c r="O16" s="140">
        <f t="shared" si="7"/>
        <v>-51839.580881616042</v>
      </c>
      <c r="P16" s="140">
        <f t="shared" si="7"/>
        <v>-51844.261874414973</v>
      </c>
      <c r="Q16" s="140">
        <f t="shared" si="7"/>
        <v>-51844.261874414973</v>
      </c>
      <c r="R16" s="140">
        <f t="shared" si="7"/>
        <v>-51844.261874414973</v>
      </c>
      <c r="S16" s="140">
        <f t="shared" si="7"/>
        <v>-53272.586999344843</v>
      </c>
      <c r="T16" s="140">
        <f t="shared" si="7"/>
        <v>-47437.925541297984</v>
      </c>
      <c r="U16" s="140">
        <f t="shared" si="7"/>
        <v>-41717.669209879496</v>
      </c>
      <c r="V16" s="140">
        <f t="shared" si="7"/>
        <v>-36109.574767312348</v>
      </c>
      <c r="W16" s="142" t="s">
        <v>44</v>
      </c>
      <c r="X16" s="143">
        <f>IRR(B13:V13)</f>
        <v>-7.33080920037531E-2</v>
      </c>
    </row>
    <row r="17" spans="1:24" s="313" customFormat="1" ht="11.25" x14ac:dyDescent="0.2">
      <c r="A17" s="51"/>
      <c r="B17" s="52">
        <f t="shared" ref="B17:T17" si="8">IF(AND(B16&lt;0,C16&gt;0),B3+(-B16/(-B16+C16)),0)</f>
        <v>0</v>
      </c>
      <c r="C17" s="52">
        <f t="shared" si="8"/>
        <v>0</v>
      </c>
      <c r="D17" s="52">
        <f t="shared" si="8"/>
        <v>0</v>
      </c>
      <c r="E17" s="52">
        <f t="shared" si="8"/>
        <v>0</v>
      </c>
      <c r="F17" s="223">
        <f t="shared" si="8"/>
        <v>0</v>
      </c>
      <c r="G17" s="52">
        <f t="shared" si="8"/>
        <v>0</v>
      </c>
      <c r="H17" s="52">
        <f t="shared" si="8"/>
        <v>0</v>
      </c>
      <c r="I17" s="52">
        <f t="shared" si="8"/>
        <v>0</v>
      </c>
      <c r="J17" s="52">
        <f t="shared" si="8"/>
        <v>0</v>
      </c>
      <c r="K17" s="52">
        <f t="shared" si="8"/>
        <v>0</v>
      </c>
      <c r="L17" s="52">
        <f t="shared" si="8"/>
        <v>0</v>
      </c>
      <c r="M17" s="52">
        <f t="shared" si="8"/>
        <v>0</v>
      </c>
      <c r="N17" s="52">
        <f t="shared" si="8"/>
        <v>0</v>
      </c>
      <c r="O17" s="52">
        <f t="shared" si="8"/>
        <v>0</v>
      </c>
      <c r="P17" s="52">
        <f t="shared" si="8"/>
        <v>0</v>
      </c>
      <c r="Q17" s="52">
        <f t="shared" si="8"/>
        <v>0</v>
      </c>
      <c r="R17" s="52">
        <f t="shared" si="8"/>
        <v>0</v>
      </c>
      <c r="S17" s="52">
        <f t="shared" si="8"/>
        <v>0</v>
      </c>
      <c r="T17" s="52">
        <f t="shared" si="8"/>
        <v>0</v>
      </c>
      <c r="U17" s="52">
        <f>IF(AND(U16&lt;0,V16&gt;0),U3+(-U16/(-U16+V16)),0)</f>
        <v>0</v>
      </c>
      <c r="V17" s="52"/>
      <c r="W17" s="61" t="s">
        <v>49</v>
      </c>
      <c r="X17" s="62">
        <f>MAX(B17:V17)</f>
        <v>0</v>
      </c>
    </row>
    <row r="18" spans="1:24" s="314" customFormat="1" ht="15.75" x14ac:dyDescent="0.25">
      <c r="A18" s="45" t="s">
        <v>382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44"/>
      <c r="M18" s="44"/>
      <c r="N18" s="44"/>
      <c r="O18" s="44"/>
      <c r="P18" s="44"/>
      <c r="Q18" s="44">
        <f>MIN(B14:V14)</f>
        <v>-61786.3</v>
      </c>
      <c r="R18" s="44" t="s">
        <v>121</v>
      </c>
      <c r="S18" s="44"/>
      <c r="T18" s="44"/>
      <c r="U18" s="44"/>
      <c r="V18" s="44"/>
      <c r="W18" s="73" t="s">
        <v>51</v>
      </c>
      <c r="X18" s="74">
        <f>ABS(X12/X8)</f>
        <v>0.30349910555612819</v>
      </c>
    </row>
    <row r="19" spans="1:24" x14ac:dyDescent="0.25">
      <c r="A19" s="226" t="s">
        <v>302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8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8"/>
      <c r="X19" s="228"/>
    </row>
    <row r="20" spans="1:24" ht="15.75" x14ac:dyDescent="0.25">
      <c r="A20" s="38"/>
      <c r="B20" s="208">
        <v>1</v>
      </c>
      <c r="C20" s="209">
        <f>B20+1</f>
        <v>2</v>
      </c>
      <c r="D20" s="210">
        <f t="shared" ref="D20:V20" si="9">C20+1</f>
        <v>3</v>
      </c>
      <c r="E20" s="210">
        <f t="shared" si="9"/>
        <v>4</v>
      </c>
      <c r="F20" s="211">
        <f t="shared" si="9"/>
        <v>5</v>
      </c>
      <c r="G20" s="212">
        <f t="shared" si="9"/>
        <v>6</v>
      </c>
      <c r="H20" s="212">
        <f t="shared" si="9"/>
        <v>7</v>
      </c>
      <c r="I20" s="213">
        <f t="shared" si="9"/>
        <v>8</v>
      </c>
      <c r="J20" s="213">
        <f t="shared" si="9"/>
        <v>9</v>
      </c>
      <c r="K20" s="207">
        <f t="shared" si="9"/>
        <v>10</v>
      </c>
      <c r="L20" s="207">
        <f t="shared" si="9"/>
        <v>11</v>
      </c>
      <c r="M20" s="207">
        <f t="shared" si="9"/>
        <v>12</v>
      </c>
      <c r="N20" s="207">
        <f t="shared" si="9"/>
        <v>13</v>
      </c>
      <c r="O20" s="207">
        <f t="shared" si="9"/>
        <v>14</v>
      </c>
      <c r="P20" s="207">
        <f t="shared" si="9"/>
        <v>15</v>
      </c>
      <c r="Q20" s="207">
        <f t="shared" si="9"/>
        <v>16</v>
      </c>
      <c r="R20" s="207">
        <f t="shared" si="9"/>
        <v>17</v>
      </c>
      <c r="S20" s="207">
        <f t="shared" si="9"/>
        <v>18</v>
      </c>
      <c r="T20" s="207">
        <f t="shared" si="9"/>
        <v>19</v>
      </c>
      <c r="U20" s="207">
        <f t="shared" si="9"/>
        <v>20</v>
      </c>
      <c r="V20" s="207">
        <f t="shared" si="9"/>
        <v>21</v>
      </c>
      <c r="W20" s="39" t="s">
        <v>39</v>
      </c>
      <c r="X20" s="39" t="s">
        <v>40</v>
      </c>
    </row>
    <row r="21" spans="1:24" s="222" customFormat="1" ht="30" x14ac:dyDescent="0.2">
      <c r="A21" s="219" t="s">
        <v>89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39">
        <f t="shared" ref="W21:W34" si="10">SUM(B21:V21)</f>
        <v>0</v>
      </c>
      <c r="X21" s="63"/>
    </row>
    <row r="22" spans="1:24" s="307" customFormat="1" ht="30" x14ac:dyDescent="0.2">
      <c r="A22" s="54" t="s">
        <v>303</v>
      </c>
      <c r="B22" s="217">
        <f>ИсхСел!I12</f>
        <v>12000</v>
      </c>
      <c r="C22" s="90"/>
      <c r="D22" s="90"/>
      <c r="E22" s="90"/>
      <c r="F22" s="230"/>
      <c r="G22" s="230"/>
      <c r="H22" s="90"/>
      <c r="I22" s="90"/>
      <c r="J22" s="90"/>
      <c r="K22" s="90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39">
        <f t="shared" si="10"/>
        <v>12000</v>
      </c>
      <c r="X22" s="41"/>
    </row>
    <row r="23" spans="1:24" ht="45" x14ac:dyDescent="0.25">
      <c r="A23" s="54" t="s">
        <v>304</v>
      </c>
      <c r="B23" s="90"/>
      <c r="C23" s="217">
        <f>ИсхСел!I13</f>
        <v>3072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39">
        <f t="shared" si="10"/>
        <v>3072</v>
      </c>
      <c r="X23" s="41"/>
    </row>
    <row r="24" spans="1:24" ht="75" x14ac:dyDescent="0.25">
      <c r="A24" s="54" t="s">
        <v>305</v>
      </c>
      <c r="B24" s="135"/>
      <c r="C24" s="93"/>
      <c r="D24" s="217">
        <f>ИсхСел!$I$14</f>
        <v>4397</v>
      </c>
      <c r="E24" s="217">
        <f>ИсхСел!$I$14</f>
        <v>4397</v>
      </c>
      <c r="F24" s="90"/>
      <c r="G24" s="90"/>
      <c r="H24" s="90"/>
      <c r="I24" s="90"/>
      <c r="J24" s="90"/>
      <c r="K24" s="90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39">
        <f t="shared" si="10"/>
        <v>8794</v>
      </c>
      <c r="X24" s="41"/>
    </row>
    <row r="25" spans="1:24" ht="45" x14ac:dyDescent="0.25">
      <c r="A25" s="54" t="s">
        <v>306</v>
      </c>
      <c r="B25" s="90"/>
      <c r="C25" s="90"/>
      <c r="D25" s="90"/>
      <c r="E25" s="217">
        <f>ИсхСел!J16</f>
        <v>0</v>
      </c>
      <c r="F25" s="217">
        <f>ИсхСел!$I$16</f>
        <v>56</v>
      </c>
      <c r="G25" s="90"/>
      <c r="H25" s="90"/>
      <c r="I25" s="90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39">
        <f t="shared" si="10"/>
        <v>56</v>
      </c>
      <c r="X25" s="41"/>
    </row>
    <row r="26" spans="1:24" ht="30" x14ac:dyDescent="0.25">
      <c r="A26" s="54" t="s">
        <v>307</v>
      </c>
      <c r="B26" s="90"/>
      <c r="C26" s="90"/>
      <c r="D26" s="90"/>
      <c r="E26" s="90"/>
      <c r="F26" s="90"/>
      <c r="G26" s="217">
        <f>ИсхСел!I18</f>
        <v>6.3</v>
      </c>
      <c r="H26" s="90"/>
      <c r="I26" s="90"/>
      <c r="J26" s="90"/>
      <c r="K26" s="90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39">
        <f t="shared" si="10"/>
        <v>6.3</v>
      </c>
      <c r="X26" s="41"/>
    </row>
    <row r="27" spans="1:24" ht="30" x14ac:dyDescent="0.25">
      <c r="A27" s="219" t="s">
        <v>298</v>
      </c>
      <c r="B27" s="216">
        <f>-B22-B23-B24-B25-B26</f>
        <v>-12000</v>
      </c>
      <c r="C27" s="216">
        <f t="shared" ref="C27:V27" si="11">-C22-C23-C24-C25-C26</f>
        <v>-3072</v>
      </c>
      <c r="D27" s="216">
        <f t="shared" si="11"/>
        <v>-4397</v>
      </c>
      <c r="E27" s="216">
        <f t="shared" si="11"/>
        <v>-4397</v>
      </c>
      <c r="F27" s="216">
        <f t="shared" si="11"/>
        <v>-56</v>
      </c>
      <c r="G27" s="239">
        <f t="shared" si="11"/>
        <v>-6.3</v>
      </c>
      <c r="H27" s="216">
        <f t="shared" si="11"/>
        <v>0</v>
      </c>
      <c r="I27" s="216">
        <f t="shared" si="11"/>
        <v>0</v>
      </c>
      <c r="J27" s="216">
        <f t="shared" si="11"/>
        <v>0</v>
      </c>
      <c r="K27" s="216">
        <f t="shared" si="11"/>
        <v>0</v>
      </c>
      <c r="L27" s="216">
        <f t="shared" si="11"/>
        <v>0</v>
      </c>
      <c r="M27" s="216">
        <f t="shared" si="11"/>
        <v>0</v>
      </c>
      <c r="N27" s="216">
        <f t="shared" si="11"/>
        <v>0</v>
      </c>
      <c r="O27" s="216">
        <f t="shared" si="11"/>
        <v>0</v>
      </c>
      <c r="P27" s="216">
        <f t="shared" si="11"/>
        <v>0</v>
      </c>
      <c r="Q27" s="216">
        <f t="shared" si="11"/>
        <v>0</v>
      </c>
      <c r="R27" s="216">
        <f t="shared" si="11"/>
        <v>0</v>
      </c>
      <c r="S27" s="216">
        <f t="shared" si="11"/>
        <v>0</v>
      </c>
      <c r="T27" s="216">
        <f t="shared" si="11"/>
        <v>0</v>
      </c>
      <c r="U27" s="216">
        <f t="shared" si="11"/>
        <v>0</v>
      </c>
      <c r="V27" s="216">
        <f t="shared" si="11"/>
        <v>0</v>
      </c>
      <c r="W27" s="39">
        <f t="shared" si="10"/>
        <v>-23928.3</v>
      </c>
      <c r="X27" s="43">
        <f>NPV($X$1,B27:V27)</f>
        <v>-22979.271166616221</v>
      </c>
    </row>
    <row r="28" spans="1:24" s="144" customFormat="1" ht="30" x14ac:dyDescent="0.2">
      <c r="A28" s="219" t="s">
        <v>297</v>
      </c>
      <c r="B28" s="56"/>
      <c r="C28" s="56"/>
      <c r="D28" s="56"/>
      <c r="E28" s="56"/>
      <c r="F28" s="13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39">
        <f t="shared" si="10"/>
        <v>0</v>
      </c>
      <c r="X28" s="57"/>
    </row>
    <row r="29" spans="1:24" s="144" customFormat="1" ht="45" x14ac:dyDescent="0.2">
      <c r="A29" s="54" t="s">
        <v>308</v>
      </c>
      <c r="B29" s="217"/>
      <c r="C29" s="217"/>
      <c r="D29" s="217"/>
      <c r="E29" s="217"/>
      <c r="F29" s="217"/>
      <c r="G29" s="217"/>
      <c r="H29" s="217"/>
      <c r="I29" s="217"/>
      <c r="J29" s="477">
        <f>ИсхСел!$I$19*$B$57</f>
        <v>2040</v>
      </c>
      <c r="K29" s="477">
        <f>ИсхСел!$I$19*$B$57</f>
        <v>2040</v>
      </c>
      <c r="L29" s="477">
        <f>ИсхСел!$I$19*$B$57</f>
        <v>2040</v>
      </c>
      <c r="M29" s="477">
        <f>ИсхСел!$I$19*$B$57</f>
        <v>2040</v>
      </c>
      <c r="N29" s="477">
        <f>ИсхСел!$I$19*$B$57</f>
        <v>2040</v>
      </c>
      <c r="O29" s="477">
        <f>ИсхСел!$I$19*$B$57</f>
        <v>2040</v>
      </c>
      <c r="P29" s="477">
        <f>ИсхСел!$I$19*$B$57</f>
        <v>2040</v>
      </c>
      <c r="Q29" s="477">
        <f>ИсхСел!$I$19*$B$57</f>
        <v>2040</v>
      </c>
      <c r="R29" s="477">
        <f>ИсхСел!$I$19*$B$57</f>
        <v>2040</v>
      </c>
      <c r="S29" s="477">
        <f>ИсхСел!$I$19*$B$57</f>
        <v>2040</v>
      </c>
      <c r="T29" s="477">
        <f>ИсхСел!$I$19*$B$57</f>
        <v>2040</v>
      </c>
      <c r="U29" s="477">
        <f>ИсхСел!$I$19*$B$57</f>
        <v>2040</v>
      </c>
      <c r="V29" s="477">
        <f>ИсхСел!$I$19*$B$57</f>
        <v>2040</v>
      </c>
      <c r="W29" s="39">
        <f t="shared" si="10"/>
        <v>26520</v>
      </c>
      <c r="X29" s="56"/>
    </row>
    <row r="30" spans="1:24" s="144" customFormat="1" x14ac:dyDescent="0.2">
      <c r="A30" s="54" t="s">
        <v>299</v>
      </c>
      <c r="B30" s="217"/>
      <c r="C30" s="217"/>
      <c r="D30" s="217"/>
      <c r="E30" s="217"/>
      <c r="F30" s="217"/>
      <c r="G30" s="217"/>
      <c r="H30" s="217"/>
      <c r="I30" s="217"/>
      <c r="J30" s="217"/>
      <c r="K30" s="477">
        <f>ИсхСел!$K$20*$B$56</f>
        <v>8500</v>
      </c>
      <c r="L30" s="477">
        <f>ИсхСел!$K$20*$B$56</f>
        <v>8500</v>
      </c>
      <c r="M30" s="477">
        <f>ИсхСел!$K$20*$B$56</f>
        <v>8500</v>
      </c>
      <c r="N30" s="477">
        <f>ИсхСел!$K$20*$B$56</f>
        <v>8500</v>
      </c>
      <c r="O30" s="477">
        <f>ИсхСел!$K$20*$B$56</f>
        <v>8500</v>
      </c>
      <c r="P30" s="477">
        <f>ИсхСел!$K$20*$B$56</f>
        <v>8500</v>
      </c>
      <c r="Q30" s="477">
        <f>ИсхСел!$K$20*$B$56</f>
        <v>8500</v>
      </c>
      <c r="R30" s="477">
        <f>ИсхСел!$K$20*$B$56</f>
        <v>8500</v>
      </c>
      <c r="S30" s="477">
        <f>ИсхСел!$K$20*$B$56</f>
        <v>8500</v>
      </c>
      <c r="T30" s="477">
        <f>ИсхСел!$K$20*$B$56</f>
        <v>8500</v>
      </c>
      <c r="U30" s="477">
        <f>ИсхСел!$K$20*$B$56</f>
        <v>8500</v>
      </c>
      <c r="V30" s="477">
        <f>ИсхСел!$K$20*$B$56</f>
        <v>8500</v>
      </c>
      <c r="W30" s="39">
        <f t="shared" si="10"/>
        <v>102000</v>
      </c>
      <c r="X30" s="56"/>
    </row>
    <row r="31" spans="1:24" s="144" customFormat="1" ht="45" x14ac:dyDescent="0.2">
      <c r="A31" s="219" t="s">
        <v>300</v>
      </c>
      <c r="B31" s="218">
        <f>B30-B29</f>
        <v>0</v>
      </c>
      <c r="C31" s="218">
        <f t="shared" ref="C31:V31" si="12">C30-C29</f>
        <v>0</v>
      </c>
      <c r="D31" s="218">
        <f t="shared" si="12"/>
        <v>0</v>
      </c>
      <c r="E31" s="218">
        <f t="shared" si="12"/>
        <v>0</v>
      </c>
      <c r="F31" s="217">
        <f t="shared" si="12"/>
        <v>0</v>
      </c>
      <c r="G31" s="218">
        <f t="shared" si="12"/>
        <v>0</v>
      </c>
      <c r="H31" s="218">
        <f t="shared" si="12"/>
        <v>0</v>
      </c>
      <c r="I31" s="218">
        <f t="shared" si="12"/>
        <v>0</v>
      </c>
      <c r="J31" s="218">
        <f t="shared" si="12"/>
        <v>-2040</v>
      </c>
      <c r="K31" s="218">
        <f t="shared" si="12"/>
        <v>6460</v>
      </c>
      <c r="L31" s="218">
        <f t="shared" si="12"/>
        <v>6460</v>
      </c>
      <c r="M31" s="218">
        <f t="shared" si="12"/>
        <v>6460</v>
      </c>
      <c r="N31" s="218">
        <f t="shared" si="12"/>
        <v>6460</v>
      </c>
      <c r="O31" s="218">
        <f t="shared" si="12"/>
        <v>6460</v>
      </c>
      <c r="P31" s="218">
        <f t="shared" si="12"/>
        <v>6460</v>
      </c>
      <c r="Q31" s="218">
        <f t="shared" si="12"/>
        <v>6460</v>
      </c>
      <c r="R31" s="218">
        <f t="shared" si="12"/>
        <v>6460</v>
      </c>
      <c r="S31" s="218">
        <f t="shared" si="12"/>
        <v>6460</v>
      </c>
      <c r="T31" s="218">
        <f t="shared" si="12"/>
        <v>6460</v>
      </c>
      <c r="U31" s="218">
        <f t="shared" si="12"/>
        <v>6460</v>
      </c>
      <c r="V31" s="218">
        <f t="shared" si="12"/>
        <v>6460</v>
      </c>
      <c r="W31" s="39">
        <f t="shared" si="10"/>
        <v>75480</v>
      </c>
      <c r="X31" s="43">
        <f>NPV($X$1,B31:V31)</f>
        <v>55457.381316936815</v>
      </c>
    </row>
    <row r="32" spans="1:24" s="144" customFormat="1" ht="30" x14ac:dyDescent="0.2">
      <c r="A32" s="219" t="s">
        <v>309</v>
      </c>
      <c r="B32" s="216">
        <f>B31+B27</f>
        <v>-12000</v>
      </c>
      <c r="C32" s="216">
        <f t="shared" ref="C32:V32" si="13">C31+C27</f>
        <v>-3072</v>
      </c>
      <c r="D32" s="216">
        <f t="shared" si="13"/>
        <v>-4397</v>
      </c>
      <c r="E32" s="216">
        <f t="shared" si="13"/>
        <v>-4397</v>
      </c>
      <c r="F32" s="216">
        <f t="shared" si="13"/>
        <v>-56</v>
      </c>
      <c r="G32" s="239">
        <f t="shared" si="13"/>
        <v>-6.3</v>
      </c>
      <c r="H32" s="216">
        <f t="shared" si="13"/>
        <v>0</v>
      </c>
      <c r="I32" s="216">
        <f t="shared" si="13"/>
        <v>0</v>
      </c>
      <c r="J32" s="216">
        <f t="shared" si="13"/>
        <v>-2040</v>
      </c>
      <c r="K32" s="216">
        <f t="shared" si="13"/>
        <v>6460</v>
      </c>
      <c r="L32" s="216">
        <f t="shared" si="13"/>
        <v>6460</v>
      </c>
      <c r="M32" s="216">
        <f t="shared" si="13"/>
        <v>6460</v>
      </c>
      <c r="N32" s="216">
        <f t="shared" si="13"/>
        <v>6460</v>
      </c>
      <c r="O32" s="216">
        <f t="shared" si="13"/>
        <v>6460</v>
      </c>
      <c r="P32" s="216">
        <f t="shared" si="13"/>
        <v>6460</v>
      </c>
      <c r="Q32" s="216">
        <f t="shared" si="13"/>
        <v>6460</v>
      </c>
      <c r="R32" s="216">
        <f t="shared" si="13"/>
        <v>6460</v>
      </c>
      <c r="S32" s="216">
        <f t="shared" si="13"/>
        <v>6460</v>
      </c>
      <c r="T32" s="216">
        <f t="shared" si="13"/>
        <v>6460</v>
      </c>
      <c r="U32" s="216">
        <f t="shared" si="13"/>
        <v>6460</v>
      </c>
      <c r="V32" s="216">
        <f t="shared" si="13"/>
        <v>6460</v>
      </c>
      <c r="W32" s="39">
        <f t="shared" si="10"/>
        <v>51551.7</v>
      </c>
      <c r="X32" s="56"/>
    </row>
    <row r="33" spans="1:24" s="144" customFormat="1" x14ac:dyDescent="0.2">
      <c r="A33" s="54" t="s">
        <v>41</v>
      </c>
      <c r="B33" s="218">
        <f>B32</f>
        <v>-12000</v>
      </c>
      <c r="C33" s="218">
        <f>B33+C32</f>
        <v>-15072</v>
      </c>
      <c r="D33" s="218">
        <f t="shared" ref="D33:V33" si="14">C33+D32</f>
        <v>-19469</v>
      </c>
      <c r="E33" s="218">
        <f t="shared" si="14"/>
        <v>-23866</v>
      </c>
      <c r="F33" s="217">
        <f t="shared" si="14"/>
        <v>-23922</v>
      </c>
      <c r="G33" s="218">
        <f t="shared" si="14"/>
        <v>-23928.3</v>
      </c>
      <c r="H33" s="218">
        <f t="shared" si="14"/>
        <v>-23928.3</v>
      </c>
      <c r="I33" s="218">
        <f t="shared" si="14"/>
        <v>-23928.3</v>
      </c>
      <c r="J33" s="218">
        <f t="shared" si="14"/>
        <v>-25968.3</v>
      </c>
      <c r="K33" s="218">
        <f t="shared" si="14"/>
        <v>-19508.3</v>
      </c>
      <c r="L33" s="218">
        <f t="shared" si="14"/>
        <v>-13048.3</v>
      </c>
      <c r="M33" s="218">
        <f t="shared" si="14"/>
        <v>-6588.2999999999993</v>
      </c>
      <c r="N33" s="218">
        <f t="shared" si="14"/>
        <v>-128.29999999999927</v>
      </c>
      <c r="O33" s="218">
        <f t="shared" si="14"/>
        <v>6331.7000000000007</v>
      </c>
      <c r="P33" s="218">
        <f t="shared" si="14"/>
        <v>12791.7</v>
      </c>
      <c r="Q33" s="218">
        <f t="shared" si="14"/>
        <v>19251.7</v>
      </c>
      <c r="R33" s="218">
        <f t="shared" si="14"/>
        <v>25711.7</v>
      </c>
      <c r="S33" s="218">
        <f t="shared" si="14"/>
        <v>32171.7</v>
      </c>
      <c r="T33" s="218">
        <f t="shared" si="14"/>
        <v>38631.699999999997</v>
      </c>
      <c r="U33" s="218">
        <f t="shared" si="14"/>
        <v>45091.7</v>
      </c>
      <c r="V33" s="218">
        <f t="shared" si="14"/>
        <v>51551.7</v>
      </c>
      <c r="W33" s="39">
        <f t="shared" si="10"/>
        <v>178.2000000001135</v>
      </c>
      <c r="X33" s="56"/>
    </row>
    <row r="34" spans="1:24" s="144" customFormat="1" ht="30" x14ac:dyDescent="0.2">
      <c r="A34" s="219" t="s">
        <v>50</v>
      </c>
      <c r="B34" s="95">
        <f t="shared" ref="B34:V34" si="15">B32/(1+$X$1)^B20</f>
        <v>-11764.705882352941</v>
      </c>
      <c r="C34" s="95">
        <f t="shared" si="15"/>
        <v>-2952.710495963091</v>
      </c>
      <c r="D34" s="95">
        <f t="shared" si="15"/>
        <v>-4143.3913050033552</v>
      </c>
      <c r="E34" s="95">
        <f t="shared" si="15"/>
        <v>-4062.1483382385832</v>
      </c>
      <c r="F34" s="309">
        <f t="shared" si="15"/>
        <v>-50.720925350475291</v>
      </c>
      <c r="G34" s="95">
        <f t="shared" si="15"/>
        <v>-5.5942197077730098</v>
      </c>
      <c r="H34" s="95">
        <f t="shared" si="15"/>
        <v>0</v>
      </c>
      <c r="I34" s="95">
        <f t="shared" si="15"/>
        <v>0</v>
      </c>
      <c r="J34" s="95">
        <f t="shared" si="15"/>
        <v>-1706.9807423802233</v>
      </c>
      <c r="K34" s="95">
        <f t="shared" si="15"/>
        <v>5299.4500171935033</v>
      </c>
      <c r="L34" s="95">
        <f t="shared" si="15"/>
        <v>5195.539232542651</v>
      </c>
      <c r="M34" s="95">
        <f t="shared" si="15"/>
        <v>5093.6659142574999</v>
      </c>
      <c r="N34" s="95">
        <f t="shared" si="15"/>
        <v>4993.7901120171573</v>
      </c>
      <c r="O34" s="95">
        <f t="shared" si="15"/>
        <v>4895.8726588403497</v>
      </c>
      <c r="P34" s="95">
        <f t="shared" si="15"/>
        <v>4799.8751557258347</v>
      </c>
      <c r="Q34" s="95">
        <f t="shared" si="15"/>
        <v>4705.7599565939545</v>
      </c>
      <c r="R34" s="95">
        <f t="shared" si="15"/>
        <v>4613.4901535234849</v>
      </c>
      <c r="S34" s="95">
        <f t="shared" si="15"/>
        <v>4523.0295622779267</v>
      </c>
      <c r="T34" s="95">
        <f t="shared" si="15"/>
        <v>4434.3427081156142</v>
      </c>
      <c r="U34" s="95">
        <f t="shared" si="15"/>
        <v>4347.3948118780527</v>
      </c>
      <c r="V34" s="95">
        <f t="shared" si="15"/>
        <v>4262.1517763510328</v>
      </c>
      <c r="W34" s="39">
        <f t="shared" si="10"/>
        <v>32478.110150320623</v>
      </c>
      <c r="X34" s="39" t="s">
        <v>48</v>
      </c>
    </row>
    <row r="35" spans="1:24" s="144" customFormat="1" ht="11.25" x14ac:dyDescent="0.2">
      <c r="A35" s="139" t="s">
        <v>42</v>
      </c>
      <c r="B35" s="140">
        <f>B34</f>
        <v>-11764.705882352941</v>
      </c>
      <c r="C35" s="140">
        <f>B35+C34</f>
        <v>-14717.416378316031</v>
      </c>
      <c r="D35" s="140">
        <f t="shared" ref="D35:V35" si="16">C35+D34</f>
        <v>-18860.807683319385</v>
      </c>
      <c r="E35" s="140">
        <f t="shared" si="16"/>
        <v>-22922.95602155797</v>
      </c>
      <c r="F35" s="140">
        <f t="shared" si="16"/>
        <v>-22973.676946908447</v>
      </c>
      <c r="G35" s="140">
        <f t="shared" si="16"/>
        <v>-22979.271166616221</v>
      </c>
      <c r="H35" s="140">
        <f t="shared" si="16"/>
        <v>-22979.271166616221</v>
      </c>
      <c r="I35" s="140">
        <f t="shared" si="16"/>
        <v>-22979.271166616221</v>
      </c>
      <c r="J35" s="140">
        <f t="shared" si="16"/>
        <v>-24686.251908996444</v>
      </c>
      <c r="K35" s="140">
        <f t="shared" si="16"/>
        <v>-19386.801891802941</v>
      </c>
      <c r="L35" s="140">
        <f t="shared" si="16"/>
        <v>-14191.26265926029</v>
      </c>
      <c r="M35" s="140">
        <f t="shared" si="16"/>
        <v>-9097.5967450027892</v>
      </c>
      <c r="N35" s="140">
        <f t="shared" si="16"/>
        <v>-4103.8066329856319</v>
      </c>
      <c r="O35" s="140">
        <f t="shared" si="16"/>
        <v>792.06602585471774</v>
      </c>
      <c r="P35" s="140">
        <f t="shared" si="16"/>
        <v>5591.9411815805524</v>
      </c>
      <c r="Q35" s="140">
        <f t="shared" si="16"/>
        <v>10297.701138174507</v>
      </c>
      <c r="R35" s="140">
        <f t="shared" si="16"/>
        <v>14911.191291697993</v>
      </c>
      <c r="S35" s="140">
        <f t="shared" si="16"/>
        <v>19434.220853975919</v>
      </c>
      <c r="T35" s="140">
        <f t="shared" si="16"/>
        <v>23868.563562091535</v>
      </c>
      <c r="U35" s="140">
        <f t="shared" si="16"/>
        <v>28215.958373969588</v>
      </c>
      <c r="V35" s="140">
        <f t="shared" si="16"/>
        <v>32478.110150320623</v>
      </c>
      <c r="W35" s="59" t="s">
        <v>44</v>
      </c>
      <c r="X35" s="60">
        <f>IRR(B32:V32)</f>
        <v>9.0900495402691739E-2</v>
      </c>
    </row>
    <row r="36" spans="1:24" s="144" customFormat="1" ht="11.25" x14ac:dyDescent="0.2">
      <c r="A36" s="51"/>
      <c r="B36" s="52">
        <f>IF(AND(B35&lt;0,C35&gt;0),B20+(-B35/(-B35+C35)),0)</f>
        <v>0</v>
      </c>
      <c r="C36" s="52">
        <f t="shared" ref="C36:U36" si="17">IF(AND(C35&lt;0,D35&gt;0),C20+(-C35/(-C35+D35)),0)</f>
        <v>0</v>
      </c>
      <c r="D36" s="52">
        <f t="shared" si="17"/>
        <v>0</v>
      </c>
      <c r="E36" s="52">
        <f t="shared" si="17"/>
        <v>0</v>
      </c>
      <c r="F36" s="223">
        <f t="shared" si="17"/>
        <v>0</v>
      </c>
      <c r="G36" s="52">
        <f t="shared" si="17"/>
        <v>0</v>
      </c>
      <c r="H36" s="52">
        <f t="shared" si="17"/>
        <v>0</v>
      </c>
      <c r="I36" s="52">
        <f t="shared" si="17"/>
        <v>0</v>
      </c>
      <c r="J36" s="52">
        <f t="shared" si="17"/>
        <v>0</v>
      </c>
      <c r="K36" s="52">
        <f t="shared" si="17"/>
        <v>0</v>
      </c>
      <c r="L36" s="52">
        <f t="shared" si="17"/>
        <v>0</v>
      </c>
      <c r="M36" s="52">
        <f t="shared" si="17"/>
        <v>0</v>
      </c>
      <c r="N36" s="52">
        <f t="shared" si="17"/>
        <v>13.838217600610076</v>
      </c>
      <c r="O36" s="52">
        <f t="shared" si="17"/>
        <v>0</v>
      </c>
      <c r="P36" s="52">
        <f t="shared" si="17"/>
        <v>0</v>
      </c>
      <c r="Q36" s="52">
        <f t="shared" si="17"/>
        <v>0</v>
      </c>
      <c r="R36" s="52">
        <f t="shared" si="17"/>
        <v>0</v>
      </c>
      <c r="S36" s="52">
        <f t="shared" si="17"/>
        <v>0</v>
      </c>
      <c r="T36" s="52">
        <f t="shared" si="17"/>
        <v>0</v>
      </c>
      <c r="U36" s="52">
        <f t="shared" si="17"/>
        <v>0</v>
      </c>
      <c r="V36" s="52"/>
      <c r="W36" s="61" t="s">
        <v>49</v>
      </c>
      <c r="X36" s="62">
        <f>MAX(B36:V36)</f>
        <v>13.838217600610076</v>
      </c>
    </row>
    <row r="37" spans="1:24" s="314" customFormat="1" ht="12.75" x14ac:dyDescent="0.2">
      <c r="A37" s="45" t="s">
        <v>254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44"/>
      <c r="M37" s="44"/>
      <c r="N37" s="44"/>
      <c r="O37" s="44"/>
      <c r="P37" s="44"/>
      <c r="Q37" s="231">
        <f>MIN(B33:V33)</f>
        <v>-25968.3</v>
      </c>
      <c r="R37" s="44"/>
      <c r="S37" s="44"/>
      <c r="T37" s="44"/>
      <c r="U37" s="44"/>
      <c r="V37" s="44"/>
      <c r="W37" s="73" t="s">
        <v>51</v>
      </c>
      <c r="X37" s="74">
        <f>ABS(X31/X27)</f>
        <v>2.4133655464888752</v>
      </c>
    </row>
    <row r="38" spans="1:24" x14ac:dyDescent="0.25">
      <c r="A38" s="219" t="s">
        <v>46</v>
      </c>
      <c r="B38" s="220">
        <f>B32-B13</f>
        <v>-7603</v>
      </c>
      <c r="C38" s="220">
        <f t="shared" ref="C38:V38" si="18">C32-C13</f>
        <v>1325</v>
      </c>
      <c r="D38" s="220">
        <f t="shared" si="18"/>
        <v>0</v>
      </c>
      <c r="E38" s="220">
        <f t="shared" si="18"/>
        <v>0</v>
      </c>
      <c r="F38" s="243">
        <f t="shared" si="18"/>
        <v>4341</v>
      </c>
      <c r="G38" s="220">
        <f t="shared" si="18"/>
        <v>4390.7</v>
      </c>
      <c r="H38" s="220">
        <f t="shared" si="18"/>
        <v>4397</v>
      </c>
      <c r="I38" s="220">
        <f t="shared" si="18"/>
        <v>4397</v>
      </c>
      <c r="J38" s="220">
        <f t="shared" si="18"/>
        <v>2357</v>
      </c>
      <c r="K38" s="224">
        <f t="shared" si="18"/>
        <v>10857</v>
      </c>
      <c r="L38" s="220">
        <f t="shared" si="18"/>
        <v>10857</v>
      </c>
      <c r="M38" s="220">
        <f t="shared" si="18"/>
        <v>10857</v>
      </c>
      <c r="N38" s="220">
        <f t="shared" si="18"/>
        <v>9948</v>
      </c>
      <c r="O38" s="220">
        <f t="shared" si="18"/>
        <v>9948</v>
      </c>
      <c r="P38" s="220">
        <f t="shared" si="18"/>
        <v>6466.3</v>
      </c>
      <c r="Q38" s="220">
        <f t="shared" si="18"/>
        <v>6460</v>
      </c>
      <c r="R38" s="220">
        <f t="shared" si="18"/>
        <v>6460</v>
      </c>
      <c r="S38" s="220">
        <f t="shared" si="18"/>
        <v>8500</v>
      </c>
      <c r="T38" s="220">
        <f t="shared" si="18"/>
        <v>-2040</v>
      </c>
      <c r="U38" s="220">
        <f t="shared" si="18"/>
        <v>-2040</v>
      </c>
      <c r="V38" s="220">
        <f t="shared" si="18"/>
        <v>-2040</v>
      </c>
      <c r="W38" s="39">
        <f>SUM(B38:V38)</f>
        <v>87838</v>
      </c>
      <c r="X38" s="50">
        <f>NPV($X$1,B38:V38)</f>
        <v>68587.684917632927</v>
      </c>
    </row>
    <row r="39" spans="1:24" ht="18.75" x14ac:dyDescent="0.3">
      <c r="A39" s="219" t="s">
        <v>47</v>
      </c>
      <c r="B39" s="42">
        <f t="shared" ref="B39:V39" si="19">B38/(1+$X$1)^B$3</f>
        <v>-7453.9215686274511</v>
      </c>
      <c r="C39" s="42">
        <f t="shared" si="19"/>
        <v>1273.5486351403306</v>
      </c>
      <c r="D39" s="42">
        <f t="shared" si="19"/>
        <v>0</v>
      </c>
      <c r="E39" s="42">
        <f t="shared" si="19"/>
        <v>0</v>
      </c>
      <c r="F39" s="141">
        <f t="shared" si="19"/>
        <v>3931.777445471665</v>
      </c>
      <c r="G39" s="42">
        <f t="shared" si="19"/>
        <v>3898.8159477649128</v>
      </c>
      <c r="H39" s="42">
        <f t="shared" si="19"/>
        <v>3827.8531053653796</v>
      </c>
      <c r="I39" s="42">
        <f t="shared" si="19"/>
        <v>3752.7971621229208</v>
      </c>
      <c r="J39" s="42">
        <f t="shared" si="19"/>
        <v>1972.232161661856</v>
      </c>
      <c r="K39" s="42">
        <f t="shared" si="19"/>
        <v>8906.521491744561</v>
      </c>
      <c r="L39" s="42">
        <f t="shared" si="19"/>
        <v>8731.8838154358455</v>
      </c>
      <c r="M39" s="42">
        <f t="shared" si="19"/>
        <v>8560.6704072900429</v>
      </c>
      <c r="N39" s="42">
        <f t="shared" si="19"/>
        <v>7690.1275594963909</v>
      </c>
      <c r="O39" s="42">
        <f t="shared" si="19"/>
        <v>7539.3407446043038</v>
      </c>
      <c r="P39" s="42">
        <f t="shared" si="19"/>
        <v>4804.5561485247626</v>
      </c>
      <c r="Q39" s="42">
        <f t="shared" si="19"/>
        <v>4705.7599565939545</v>
      </c>
      <c r="R39" s="42">
        <f t="shared" si="19"/>
        <v>4613.4901535234849</v>
      </c>
      <c r="S39" s="42">
        <f t="shared" si="19"/>
        <v>5951.3546872077977</v>
      </c>
      <c r="T39" s="42">
        <f t="shared" si="19"/>
        <v>-1400.3187499312467</v>
      </c>
      <c r="U39" s="42">
        <f t="shared" si="19"/>
        <v>-1372.8615195404377</v>
      </c>
      <c r="V39" s="42">
        <f t="shared" si="19"/>
        <v>-1345.9426662161156</v>
      </c>
      <c r="W39" s="311">
        <f>SUM(B39:V39)</f>
        <v>68587.684917632956</v>
      </c>
      <c r="X39" s="39" t="s">
        <v>48</v>
      </c>
    </row>
    <row r="40" spans="1:24" x14ac:dyDescent="0.25">
      <c r="A40" s="40" t="s">
        <v>42</v>
      </c>
      <c r="B40" s="40">
        <f>B39</f>
        <v>-7453.9215686274511</v>
      </c>
      <c r="C40" s="42">
        <f>B40+C39</f>
        <v>-6180.3729334871205</v>
      </c>
      <c r="D40" s="42">
        <f t="shared" ref="D40:V40" si="20">C40+D39</f>
        <v>-6180.3729334871205</v>
      </c>
      <c r="E40" s="42">
        <f t="shared" si="20"/>
        <v>-6180.3729334871205</v>
      </c>
      <c r="F40" s="141">
        <f t="shared" si="20"/>
        <v>-2248.5954880154554</v>
      </c>
      <c r="G40" s="42">
        <f t="shared" si="20"/>
        <v>1650.2204597494574</v>
      </c>
      <c r="H40" s="42">
        <f t="shared" si="20"/>
        <v>5478.073565114837</v>
      </c>
      <c r="I40" s="42">
        <f t="shared" si="20"/>
        <v>9230.8707272377578</v>
      </c>
      <c r="J40" s="42">
        <f t="shared" si="20"/>
        <v>11203.102888899613</v>
      </c>
      <c r="K40" s="42">
        <f t="shared" si="20"/>
        <v>20109.624380644174</v>
      </c>
      <c r="L40" s="42">
        <f t="shared" si="20"/>
        <v>28841.50819608002</v>
      </c>
      <c r="M40" s="42">
        <f t="shared" si="20"/>
        <v>37402.178603370063</v>
      </c>
      <c r="N40" s="42">
        <f t="shared" si="20"/>
        <v>45092.306162866451</v>
      </c>
      <c r="O40" s="42">
        <f t="shared" si="20"/>
        <v>52631.646907470757</v>
      </c>
      <c r="P40" s="42">
        <f t="shared" si="20"/>
        <v>57436.203055995516</v>
      </c>
      <c r="Q40" s="42">
        <f t="shared" si="20"/>
        <v>62141.963012589469</v>
      </c>
      <c r="R40" s="42">
        <f t="shared" si="20"/>
        <v>66755.453166112959</v>
      </c>
      <c r="S40" s="42">
        <f t="shared" si="20"/>
        <v>72706.807853320759</v>
      </c>
      <c r="T40" s="42">
        <f t="shared" si="20"/>
        <v>71306.489103389511</v>
      </c>
      <c r="U40" s="42">
        <f t="shared" si="20"/>
        <v>69933.627583849069</v>
      </c>
      <c r="V40" s="42">
        <f t="shared" si="20"/>
        <v>68587.684917632956</v>
      </c>
      <c r="W40" s="59" t="s">
        <v>44</v>
      </c>
      <c r="X40" s="75">
        <f>IRR(B38:V38)</f>
        <v>0.33726268370324952</v>
      </c>
    </row>
    <row r="41" spans="1:24" s="222" customFormat="1" ht="12.75" x14ac:dyDescent="0.2">
      <c r="A41" s="51"/>
      <c r="B41" s="69">
        <f t="shared" ref="B41:U41" si="21">IF(AND(B40&lt;0,C40&gt;0),B$3+(-B40/(-B40+C40)),0)</f>
        <v>0</v>
      </c>
      <c r="C41" s="69">
        <f t="shared" si="21"/>
        <v>0</v>
      </c>
      <c r="D41" s="69">
        <f t="shared" si="21"/>
        <v>0</v>
      </c>
      <c r="E41" s="69">
        <f t="shared" si="21"/>
        <v>0</v>
      </c>
      <c r="F41" s="310">
        <f t="shared" si="21"/>
        <v>5.5767380451248325</v>
      </c>
      <c r="G41" s="232">
        <f t="shared" si="21"/>
        <v>0</v>
      </c>
      <c r="H41" s="69">
        <f t="shared" si="21"/>
        <v>0</v>
      </c>
      <c r="I41" s="69">
        <f t="shared" si="21"/>
        <v>0</v>
      </c>
      <c r="J41" s="69">
        <f t="shared" si="21"/>
        <v>0</v>
      </c>
      <c r="K41" s="69">
        <f t="shared" si="21"/>
        <v>0</v>
      </c>
      <c r="L41" s="69">
        <f t="shared" si="21"/>
        <v>0</v>
      </c>
      <c r="M41" s="69">
        <f t="shared" si="21"/>
        <v>0</v>
      </c>
      <c r="N41" s="69">
        <f t="shared" si="21"/>
        <v>0</v>
      </c>
      <c r="O41" s="69">
        <f t="shared" si="21"/>
        <v>0</v>
      </c>
      <c r="P41" s="69">
        <f t="shared" si="21"/>
        <v>0</v>
      </c>
      <c r="Q41" s="69">
        <f t="shared" si="21"/>
        <v>0</v>
      </c>
      <c r="R41" s="69">
        <f t="shared" si="21"/>
        <v>0</v>
      </c>
      <c r="S41" s="69">
        <f t="shared" si="21"/>
        <v>0</v>
      </c>
      <c r="T41" s="69">
        <f t="shared" si="21"/>
        <v>0</v>
      </c>
      <c r="U41" s="69">
        <f t="shared" si="21"/>
        <v>0</v>
      </c>
      <c r="V41" s="69"/>
      <c r="W41" s="70" t="s">
        <v>49</v>
      </c>
      <c r="X41" s="71">
        <f>MAX(B41:V41)</f>
        <v>5.5767380451248325</v>
      </c>
    </row>
    <row r="42" spans="1:24" s="314" customFormat="1" ht="12.75" x14ac:dyDescent="0.2">
      <c r="A42" s="45" t="s">
        <v>52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44"/>
      <c r="M42" s="44"/>
      <c r="N42" s="44"/>
      <c r="O42" s="44"/>
      <c r="P42" s="44"/>
      <c r="Q42" s="231">
        <f>-Q37</f>
        <v>25968.3</v>
      </c>
      <c r="R42" s="44"/>
      <c r="S42" s="44"/>
      <c r="T42" s="44"/>
      <c r="U42" s="44"/>
      <c r="V42" s="44"/>
      <c r="W42" s="73" t="s">
        <v>51</v>
      </c>
      <c r="X42" s="74">
        <f>(X31-X12)/(X27-X8)</f>
        <v>1.376154754801356</v>
      </c>
    </row>
    <row r="44" spans="1:24" x14ac:dyDescent="0.25">
      <c r="A44" s="405" t="s">
        <v>406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08"/>
      <c r="X44" s="408"/>
    </row>
    <row r="45" spans="1:24" x14ac:dyDescent="0.25">
      <c r="A45" s="405" t="s">
        <v>407</v>
      </c>
      <c r="B45" s="408">
        <v>0</v>
      </c>
      <c r="C45" s="408">
        <f>B45+1</f>
        <v>1</v>
      </c>
      <c r="D45" s="408">
        <f t="shared" ref="D45:W45" si="22">C45+1</f>
        <v>2</v>
      </c>
      <c r="E45" s="408">
        <f t="shared" si="22"/>
        <v>3</v>
      </c>
      <c r="F45" s="408">
        <f t="shared" si="22"/>
        <v>4</v>
      </c>
      <c r="G45" s="408">
        <f t="shared" si="22"/>
        <v>5</v>
      </c>
      <c r="H45" s="408">
        <f t="shared" si="22"/>
        <v>6</v>
      </c>
      <c r="I45" s="408">
        <f t="shared" si="22"/>
        <v>7</v>
      </c>
      <c r="J45" s="408">
        <f t="shared" si="22"/>
        <v>8</v>
      </c>
      <c r="K45" s="408">
        <f t="shared" si="22"/>
        <v>9</v>
      </c>
      <c r="L45" s="408">
        <f t="shared" si="22"/>
        <v>10</v>
      </c>
      <c r="M45" s="408">
        <f t="shared" si="22"/>
        <v>11</v>
      </c>
      <c r="N45" s="408">
        <f t="shared" si="22"/>
        <v>12</v>
      </c>
      <c r="O45" s="408">
        <f t="shared" si="22"/>
        <v>13</v>
      </c>
      <c r="P45" s="408">
        <f t="shared" si="22"/>
        <v>14</v>
      </c>
      <c r="Q45" s="408">
        <f t="shared" si="22"/>
        <v>15</v>
      </c>
      <c r="R45" s="408">
        <f t="shared" si="22"/>
        <v>16</v>
      </c>
      <c r="S45" s="408">
        <f t="shared" si="22"/>
        <v>17</v>
      </c>
      <c r="T45" s="408">
        <f t="shared" si="22"/>
        <v>18</v>
      </c>
      <c r="U45" s="408">
        <f t="shared" si="22"/>
        <v>19</v>
      </c>
      <c r="V45" s="408">
        <f t="shared" si="22"/>
        <v>20</v>
      </c>
      <c r="W45" s="408">
        <f t="shared" si="22"/>
        <v>21</v>
      </c>
      <c r="X45" s="408"/>
    </row>
    <row r="46" spans="1:24" x14ac:dyDescent="0.25">
      <c r="A46" s="405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08"/>
      <c r="X46" s="408"/>
    </row>
    <row r="47" spans="1:24" s="405" customFormat="1" x14ac:dyDescent="0.25">
      <c r="A47" s="405" t="s">
        <v>408</v>
      </c>
      <c r="B47" s="406">
        <f>B22+B23+B24+B25+B26+B29</f>
        <v>12000</v>
      </c>
      <c r="C47" s="406">
        <f t="shared" ref="C47:V47" si="23">C22+C23+C24+C25+C26+C29</f>
        <v>3072</v>
      </c>
      <c r="D47" s="406">
        <f t="shared" si="23"/>
        <v>4397</v>
      </c>
      <c r="E47" s="406">
        <f t="shared" si="23"/>
        <v>4397</v>
      </c>
      <c r="F47" s="406">
        <f t="shared" si="23"/>
        <v>56</v>
      </c>
      <c r="G47" s="406">
        <f t="shared" si="23"/>
        <v>6.3</v>
      </c>
      <c r="H47" s="406">
        <f t="shared" si="23"/>
        <v>0</v>
      </c>
      <c r="I47" s="406">
        <f t="shared" si="23"/>
        <v>0</v>
      </c>
      <c r="J47" s="406">
        <f t="shared" si="23"/>
        <v>2040</v>
      </c>
      <c r="K47" s="406">
        <f t="shared" si="23"/>
        <v>2040</v>
      </c>
      <c r="L47" s="406">
        <f t="shared" si="23"/>
        <v>2040</v>
      </c>
      <c r="M47" s="406">
        <f t="shared" si="23"/>
        <v>2040</v>
      </c>
      <c r="N47" s="406">
        <f t="shared" si="23"/>
        <v>2040</v>
      </c>
      <c r="O47" s="406">
        <f t="shared" si="23"/>
        <v>2040</v>
      </c>
      <c r="P47" s="406">
        <f t="shared" si="23"/>
        <v>2040</v>
      </c>
      <c r="Q47" s="406">
        <f t="shared" si="23"/>
        <v>2040</v>
      </c>
      <c r="R47" s="406">
        <f t="shared" si="23"/>
        <v>2040</v>
      </c>
      <c r="S47" s="406">
        <f t="shared" si="23"/>
        <v>2040</v>
      </c>
      <c r="T47" s="406">
        <f t="shared" si="23"/>
        <v>2040</v>
      </c>
      <c r="U47" s="406">
        <f t="shared" si="23"/>
        <v>2040</v>
      </c>
      <c r="V47" s="406">
        <f t="shared" si="23"/>
        <v>2040</v>
      </c>
      <c r="W47" s="407" t="s">
        <v>82</v>
      </c>
      <c r="X47" s="406">
        <f>SUM(B47:W47)</f>
        <v>50448.3</v>
      </c>
    </row>
    <row r="48" spans="1:24" s="405" customFormat="1" x14ac:dyDescent="0.25">
      <c r="A48" s="405" t="s">
        <v>409</v>
      </c>
      <c r="B48" s="408"/>
      <c r="C48" s="406">
        <f>B30</f>
        <v>0</v>
      </c>
      <c r="D48" s="406">
        <f t="shared" ref="D48:W48" si="24">C30</f>
        <v>0</v>
      </c>
      <c r="E48" s="406">
        <f t="shared" si="24"/>
        <v>0</v>
      </c>
      <c r="F48" s="406">
        <f t="shared" si="24"/>
        <v>0</v>
      </c>
      <c r="G48" s="406">
        <f t="shared" si="24"/>
        <v>0</v>
      </c>
      <c r="H48" s="406">
        <f t="shared" si="24"/>
        <v>0</v>
      </c>
      <c r="I48" s="406">
        <f t="shared" si="24"/>
        <v>0</v>
      </c>
      <c r="J48" s="406">
        <f t="shared" si="24"/>
        <v>0</v>
      </c>
      <c r="K48" s="406">
        <f t="shared" si="24"/>
        <v>0</v>
      </c>
      <c r="L48" s="406">
        <f t="shared" si="24"/>
        <v>8500</v>
      </c>
      <c r="M48" s="406">
        <f t="shared" si="24"/>
        <v>8500</v>
      </c>
      <c r="N48" s="406">
        <f t="shared" si="24"/>
        <v>8500</v>
      </c>
      <c r="O48" s="406">
        <f t="shared" si="24"/>
        <v>8500</v>
      </c>
      <c r="P48" s="406">
        <f t="shared" si="24"/>
        <v>8500</v>
      </c>
      <c r="Q48" s="406">
        <f t="shared" si="24"/>
        <v>8500</v>
      </c>
      <c r="R48" s="406">
        <f t="shared" si="24"/>
        <v>8500</v>
      </c>
      <c r="S48" s="406">
        <f t="shared" si="24"/>
        <v>8500</v>
      </c>
      <c r="T48" s="406">
        <f t="shared" si="24"/>
        <v>8500</v>
      </c>
      <c r="U48" s="406">
        <f t="shared" si="24"/>
        <v>8500</v>
      </c>
      <c r="V48" s="406">
        <f t="shared" si="24"/>
        <v>8500</v>
      </c>
      <c r="W48" s="406">
        <f t="shared" si="24"/>
        <v>8500</v>
      </c>
      <c r="X48" s="406">
        <f>SUM(B48:W48)</f>
        <v>102000</v>
      </c>
    </row>
    <row r="49" spans="1:24" s="405" customFormat="1" x14ac:dyDescent="0.25">
      <c r="A49" s="405" t="s">
        <v>410</v>
      </c>
      <c r="B49" s="406">
        <f>B48-B47</f>
        <v>-12000</v>
      </c>
      <c r="C49" s="406">
        <f t="shared" ref="C49:V49" si="25">C48-C47</f>
        <v>-3072</v>
      </c>
      <c r="D49" s="406">
        <f t="shared" si="25"/>
        <v>-4397</v>
      </c>
      <c r="E49" s="406">
        <f t="shared" si="25"/>
        <v>-4397</v>
      </c>
      <c r="F49" s="406">
        <f t="shared" si="25"/>
        <v>-56</v>
      </c>
      <c r="G49" s="406">
        <f t="shared" si="25"/>
        <v>-6.3</v>
      </c>
      <c r="H49" s="406">
        <f t="shared" si="25"/>
        <v>0</v>
      </c>
      <c r="I49" s="406">
        <f t="shared" si="25"/>
        <v>0</v>
      </c>
      <c r="J49" s="406">
        <f t="shared" si="25"/>
        <v>-2040</v>
      </c>
      <c r="K49" s="406">
        <f t="shared" si="25"/>
        <v>-2040</v>
      </c>
      <c r="L49" s="406">
        <f t="shared" si="25"/>
        <v>6460</v>
      </c>
      <c r="M49" s="406">
        <f t="shared" si="25"/>
        <v>6460</v>
      </c>
      <c r="N49" s="406">
        <f t="shared" si="25"/>
        <v>6460</v>
      </c>
      <c r="O49" s="406">
        <f t="shared" si="25"/>
        <v>6460</v>
      </c>
      <c r="P49" s="406">
        <f t="shared" si="25"/>
        <v>6460</v>
      </c>
      <c r="Q49" s="406">
        <f t="shared" si="25"/>
        <v>6460</v>
      </c>
      <c r="R49" s="406">
        <f t="shared" si="25"/>
        <v>6460</v>
      </c>
      <c r="S49" s="406">
        <f t="shared" si="25"/>
        <v>6460</v>
      </c>
      <c r="T49" s="406">
        <f t="shared" si="25"/>
        <v>6460</v>
      </c>
      <c r="U49" s="406">
        <f t="shared" si="25"/>
        <v>6460</v>
      </c>
      <c r="V49" s="406">
        <f t="shared" si="25"/>
        <v>6460</v>
      </c>
      <c r="W49" s="406">
        <v>0</v>
      </c>
      <c r="X49" s="406">
        <f>SUM(B49:W49)</f>
        <v>43051.7</v>
      </c>
    </row>
    <row r="50" spans="1:24" s="405" customFormat="1" x14ac:dyDescent="0.25">
      <c r="A50" s="405" t="s">
        <v>41</v>
      </c>
      <c r="B50" s="406">
        <f>B49</f>
        <v>-12000</v>
      </c>
      <c r="C50" s="406">
        <f>B50+C49</f>
        <v>-15072</v>
      </c>
      <c r="D50" s="406">
        <f t="shared" ref="D50:W50" si="26">C50+D49</f>
        <v>-19469</v>
      </c>
      <c r="E50" s="406">
        <f t="shared" si="26"/>
        <v>-23866</v>
      </c>
      <c r="F50" s="406">
        <f t="shared" si="26"/>
        <v>-23922</v>
      </c>
      <c r="G50" s="406">
        <f t="shared" si="26"/>
        <v>-23928.3</v>
      </c>
      <c r="H50" s="406">
        <f t="shared" si="26"/>
        <v>-23928.3</v>
      </c>
      <c r="I50" s="406">
        <f t="shared" si="26"/>
        <v>-23928.3</v>
      </c>
      <c r="J50" s="406">
        <f t="shared" si="26"/>
        <v>-25968.3</v>
      </c>
      <c r="K50" s="406">
        <f t="shared" si="26"/>
        <v>-28008.3</v>
      </c>
      <c r="L50" s="406">
        <f t="shared" si="26"/>
        <v>-21548.3</v>
      </c>
      <c r="M50" s="406">
        <f t="shared" si="26"/>
        <v>-15088.3</v>
      </c>
      <c r="N50" s="406">
        <f t="shared" si="26"/>
        <v>-8628.2999999999993</v>
      </c>
      <c r="O50" s="406">
        <f t="shared" si="26"/>
        <v>-2168.2999999999993</v>
      </c>
      <c r="P50" s="406">
        <f t="shared" si="26"/>
        <v>4291.7000000000007</v>
      </c>
      <c r="Q50" s="406">
        <f t="shared" si="26"/>
        <v>10751.7</v>
      </c>
      <c r="R50" s="406">
        <f t="shared" si="26"/>
        <v>17211.7</v>
      </c>
      <c r="S50" s="406">
        <f t="shared" si="26"/>
        <v>23671.7</v>
      </c>
      <c r="T50" s="406">
        <f t="shared" si="26"/>
        <v>30131.7</v>
      </c>
      <c r="U50" s="406">
        <f t="shared" si="26"/>
        <v>36591.699999999997</v>
      </c>
      <c r="V50" s="406">
        <f t="shared" si="26"/>
        <v>43051.7</v>
      </c>
      <c r="W50" s="406">
        <f t="shared" si="26"/>
        <v>43051.7</v>
      </c>
      <c r="X50" s="408"/>
    </row>
    <row r="51" spans="1:24" s="409" customFormat="1" ht="11.25" x14ac:dyDescent="0.2">
      <c r="B51" s="409">
        <f>IF($C$52=B50,B$3,0)</f>
        <v>0</v>
      </c>
      <c r="C51" s="409">
        <f t="shared" ref="C51:W51" si="27">IF($C$52=C50,C$3,0)</f>
        <v>0</v>
      </c>
      <c r="D51" s="409">
        <f t="shared" si="27"/>
        <v>0</v>
      </c>
      <c r="E51" s="409">
        <f t="shared" si="27"/>
        <v>0</v>
      </c>
      <c r="F51" s="409">
        <f t="shared" si="27"/>
        <v>0</v>
      </c>
      <c r="G51" s="409">
        <f t="shared" si="27"/>
        <v>0</v>
      </c>
      <c r="H51" s="409">
        <f t="shared" si="27"/>
        <v>0</v>
      </c>
      <c r="I51" s="409">
        <f t="shared" si="27"/>
        <v>0</v>
      </c>
      <c r="J51" s="409">
        <f t="shared" si="27"/>
        <v>0</v>
      </c>
      <c r="K51" s="409">
        <f t="shared" si="27"/>
        <v>10</v>
      </c>
      <c r="L51" s="409">
        <f t="shared" si="27"/>
        <v>0</v>
      </c>
      <c r="M51" s="409">
        <f t="shared" si="27"/>
        <v>0</v>
      </c>
      <c r="N51" s="409">
        <f t="shared" si="27"/>
        <v>0</v>
      </c>
      <c r="O51" s="409">
        <f t="shared" si="27"/>
        <v>0</v>
      </c>
      <c r="P51" s="409">
        <f t="shared" si="27"/>
        <v>0</v>
      </c>
      <c r="Q51" s="409">
        <f t="shared" si="27"/>
        <v>0</v>
      </c>
      <c r="R51" s="409">
        <f t="shared" si="27"/>
        <v>0</v>
      </c>
      <c r="S51" s="409">
        <f t="shared" si="27"/>
        <v>0</v>
      </c>
      <c r="T51" s="409">
        <f t="shared" si="27"/>
        <v>0</v>
      </c>
      <c r="U51" s="409">
        <f t="shared" si="27"/>
        <v>0</v>
      </c>
      <c r="V51" s="409">
        <f t="shared" si="27"/>
        <v>0</v>
      </c>
      <c r="W51" s="409">
        <f t="shared" si="27"/>
        <v>0</v>
      </c>
    </row>
    <row r="52" spans="1:24" s="405" customFormat="1" x14ac:dyDescent="0.25">
      <c r="A52" s="405" t="s">
        <v>411</v>
      </c>
      <c r="B52" s="408"/>
      <c r="C52" s="406">
        <f>MIN(B50:W50)</f>
        <v>-28008.3</v>
      </c>
      <c r="D52" s="408"/>
      <c r="E52" s="408" t="s">
        <v>413</v>
      </c>
      <c r="F52" s="408"/>
      <c r="G52" s="408">
        <f>MAX(B51:W51)</f>
        <v>10</v>
      </c>
      <c r="H52" s="408" t="s">
        <v>430</v>
      </c>
      <c r="I52" s="408"/>
      <c r="J52" s="408"/>
      <c r="K52" s="408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08"/>
      <c r="X52" s="408"/>
    </row>
    <row r="53" spans="1:24" s="405" customFormat="1" x14ac:dyDescent="0.25">
      <c r="A53" s="405" t="s">
        <v>412</v>
      </c>
      <c r="B53" s="408"/>
      <c r="C53" s="408">
        <f>-C52*1.2</f>
        <v>33609.96</v>
      </c>
      <c r="D53" s="408"/>
      <c r="E53" s="408" t="s">
        <v>415</v>
      </c>
      <c r="F53" s="408"/>
      <c r="G53" s="408"/>
      <c r="H53" s="408"/>
      <c r="I53" s="408"/>
      <c r="J53" s="408"/>
      <c r="K53" s="408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08"/>
      <c r="X53" s="408"/>
    </row>
    <row r="55" spans="1:24" x14ac:dyDescent="0.25">
      <c r="A55" s="146" t="s">
        <v>465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257"/>
      <c r="M55" s="257"/>
      <c r="N55" s="257"/>
      <c r="O55" s="257"/>
      <c r="P55" s="257"/>
    </row>
    <row r="56" spans="1:24" x14ac:dyDescent="0.25">
      <c r="A56" s="476" t="s">
        <v>464</v>
      </c>
      <c r="B56" s="478">
        <v>1</v>
      </c>
      <c r="C56" s="191"/>
      <c r="D56" s="191" t="s">
        <v>466</v>
      </c>
      <c r="E56" s="191">
        <f>W39</f>
        <v>68587.684917632956</v>
      </c>
      <c r="F56" s="191"/>
      <c r="G56" s="191" t="s">
        <v>467</v>
      </c>
      <c r="H56" s="259">
        <f>N38</f>
        <v>9948</v>
      </c>
      <c r="I56" s="191" t="s">
        <v>468</v>
      </c>
      <c r="J56" s="191"/>
      <c r="K56" s="191"/>
      <c r="L56" s="257"/>
      <c r="M56" s="257"/>
      <c r="N56" s="257"/>
      <c r="O56" s="257"/>
    </row>
    <row r="57" spans="1:24" x14ac:dyDescent="0.25">
      <c r="A57" s="476" t="s">
        <v>464</v>
      </c>
      <c r="B57" s="478">
        <v>1</v>
      </c>
      <c r="C57" s="191"/>
      <c r="D57" s="191" t="s">
        <v>466</v>
      </c>
      <c r="E57" s="191">
        <f>W39</f>
        <v>68587.684917632956</v>
      </c>
      <c r="F57" s="191"/>
      <c r="G57" s="191" t="s">
        <v>467</v>
      </c>
      <c r="H57" s="259">
        <f>N38</f>
        <v>9948</v>
      </c>
      <c r="I57" s="21" t="s">
        <v>469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"/>
  <sheetViews>
    <sheetView zoomScale="110" zoomScaleNormal="110" workbookViewId="0">
      <pane xSplit="1" ySplit="1" topLeftCell="B9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defaultRowHeight="15" x14ac:dyDescent="0.25"/>
  <cols>
    <col min="1" max="1" width="26" customWidth="1"/>
    <col min="2" max="2" width="6.28515625" customWidth="1"/>
    <col min="3" max="3" width="7.7109375" customWidth="1"/>
    <col min="4" max="4" width="6.85546875" bestFit="1" customWidth="1"/>
    <col min="5" max="5" width="7.7109375" customWidth="1"/>
    <col min="6" max="6" width="7.7109375" style="146" customWidth="1"/>
    <col min="7" max="8" width="7.7109375" customWidth="1"/>
    <col min="9" max="9" width="7.7109375" style="146" customWidth="1"/>
    <col min="10" max="13" width="7.7109375" customWidth="1"/>
    <col min="14" max="14" width="7.7109375" style="146" customWidth="1"/>
    <col min="15" max="21" width="7.7109375" customWidth="1"/>
    <col min="22" max="22" width="8.7109375" customWidth="1"/>
    <col min="23" max="23" width="10.7109375" style="188" customWidth="1"/>
    <col min="24" max="24" width="12.5703125" style="188" customWidth="1"/>
    <col min="25" max="25" width="8.85546875" style="188"/>
  </cols>
  <sheetData>
    <row r="1" spans="1:25" x14ac:dyDescent="0.25">
      <c r="B1">
        <v>1</v>
      </c>
      <c r="C1">
        <f>B1+1</f>
        <v>2</v>
      </c>
      <c r="D1">
        <f t="shared" ref="D1:S1" si="0">C1+1</f>
        <v>3</v>
      </c>
      <c r="E1">
        <f t="shared" si="0"/>
        <v>4</v>
      </c>
      <c r="F1" s="146">
        <f t="shared" si="0"/>
        <v>5</v>
      </c>
      <c r="G1" s="146">
        <f t="shared" si="0"/>
        <v>6</v>
      </c>
      <c r="H1" s="146">
        <f t="shared" si="0"/>
        <v>7</v>
      </c>
      <c r="I1" s="146">
        <f t="shared" si="0"/>
        <v>8</v>
      </c>
      <c r="J1" s="146">
        <f t="shared" si="0"/>
        <v>9</v>
      </c>
      <c r="K1" s="146">
        <f t="shared" si="0"/>
        <v>10</v>
      </c>
      <c r="L1" s="146">
        <f t="shared" si="0"/>
        <v>11</v>
      </c>
      <c r="M1" s="146">
        <f t="shared" si="0"/>
        <v>12</v>
      </c>
      <c r="N1" s="146">
        <f t="shared" si="0"/>
        <v>13</v>
      </c>
      <c r="O1" s="146">
        <f t="shared" si="0"/>
        <v>14</v>
      </c>
      <c r="P1" s="146">
        <f t="shared" si="0"/>
        <v>15</v>
      </c>
      <c r="Q1" s="146">
        <f t="shared" si="0"/>
        <v>16</v>
      </c>
      <c r="R1" s="146">
        <f t="shared" si="0"/>
        <v>17</v>
      </c>
      <c r="S1" s="146">
        <f t="shared" si="0"/>
        <v>18</v>
      </c>
      <c r="T1" s="146">
        <f>S1+1</f>
        <v>19</v>
      </c>
      <c r="U1" s="146">
        <f>T1+1</f>
        <v>20</v>
      </c>
      <c r="V1" s="146">
        <f>U1+1</f>
        <v>21</v>
      </c>
      <c r="W1" s="188" t="s">
        <v>258</v>
      </c>
      <c r="X1" s="188" t="s">
        <v>40</v>
      </c>
    </row>
    <row r="2" spans="1:25" ht="18.75" x14ac:dyDescent="0.3">
      <c r="A2" s="262" t="s">
        <v>262</v>
      </c>
      <c r="B2" s="262"/>
      <c r="C2" s="262"/>
      <c r="D2" s="262"/>
      <c r="E2" s="262"/>
    </row>
    <row r="3" spans="1:25" x14ac:dyDescent="0.25">
      <c r="A3" s="244" t="s">
        <v>259</v>
      </c>
      <c r="B3" s="261">
        <f>'1сел'!B5+'1сел'!B6+'1сел'!B7+'1сел'!B10</f>
        <v>4397</v>
      </c>
      <c r="C3" s="261">
        <f>'1сел'!C5+'1сел'!C6+'1сел'!C7+'1сел'!C10</f>
        <v>4397</v>
      </c>
      <c r="D3" s="261">
        <f>'1сел'!D5+'1сел'!D6+'1сел'!D7+'1сел'!D10</f>
        <v>4397</v>
      </c>
      <c r="E3" s="261">
        <f>'1сел'!E5+'1сел'!E6+'1сел'!E7+'1сел'!E10</f>
        <v>4397</v>
      </c>
      <c r="F3" s="261">
        <f>'1сел'!F5+'1сел'!F6+'1сел'!F7+'1сел'!F10</f>
        <v>4397</v>
      </c>
      <c r="G3" s="261">
        <f>'1сел'!G5+'1сел'!G6+'1сел'!G7+'1сел'!G10</f>
        <v>4397</v>
      </c>
      <c r="H3" s="261">
        <f>'1сел'!H5+'1сел'!H6+'1сел'!H7+'1сел'!H10</f>
        <v>4397</v>
      </c>
      <c r="I3" s="261">
        <f>'1сел'!I5+'1сел'!I6+'1сел'!I7+'1сел'!I10</f>
        <v>4397</v>
      </c>
      <c r="J3" s="261">
        <f>'1сел'!J5+'1сел'!J6+'1сел'!J7+'1сел'!J10</f>
        <v>4397</v>
      </c>
      <c r="K3" s="261">
        <f>'1сел'!K5+'1сел'!K6+'1сел'!K7+'1сел'!K10</f>
        <v>4397</v>
      </c>
      <c r="L3" s="261">
        <f>'1сел'!L5+'1сел'!L6+'1сел'!L7+'1сел'!L10</f>
        <v>4397</v>
      </c>
      <c r="M3" s="261">
        <f>'1сел'!M5+'1сел'!M6+'1сел'!M7+'1сел'!M10</f>
        <v>4397</v>
      </c>
      <c r="N3" s="261">
        <f>'1сел'!N5+'1сел'!N6+'1сел'!N7+'1сел'!N10</f>
        <v>3488</v>
      </c>
      <c r="O3" s="261">
        <f>'1сел'!O5+'1сел'!O6+'1сел'!O7+'1сел'!O10</f>
        <v>3488</v>
      </c>
      <c r="P3" s="261">
        <f>'1сел'!P5+'1сел'!P6+'1сел'!P7+'1сел'!P10</f>
        <v>6.3</v>
      </c>
      <c r="Q3" s="261">
        <f>'1сел'!Q5+'1сел'!Q6+'1сел'!Q7+'1сел'!Q10</f>
        <v>0</v>
      </c>
      <c r="R3" s="261">
        <f>'1сел'!R5+'1сел'!R6+'1сел'!R7+'1сел'!R10</f>
        <v>0</v>
      </c>
      <c r="S3" s="261">
        <f>'1сел'!S5+'1сел'!S6+'1сел'!S7+'1сел'!S10</f>
        <v>2040</v>
      </c>
      <c r="T3" s="261">
        <f>'1сел'!T5+'1сел'!T6+'1сел'!T7+'1сел'!T10</f>
        <v>0</v>
      </c>
      <c r="U3" s="261">
        <f>'1сел'!U5+'1сел'!U6+'1сел'!U7+'1сел'!U10</f>
        <v>0</v>
      </c>
      <c r="V3" s="261">
        <f>'1сел'!V5+'1сел'!V6+'1сел'!V7+'1сел'!V10</f>
        <v>0</v>
      </c>
      <c r="W3" s="199">
        <f t="shared" ref="W3:W21" si="1">SUM(B3:V3)</f>
        <v>61786.3</v>
      </c>
      <c r="X3" s="189">
        <f>NPV('1сел'!$X$1,B3:V3)</f>
        <v>53272.586999344836</v>
      </c>
    </row>
    <row r="4" spans="1:25" x14ac:dyDescent="0.25">
      <c r="A4" s="244" t="s">
        <v>261</v>
      </c>
      <c r="B4" s="58">
        <f>('3товар'!B4+'3товар'!B5)*1000</f>
        <v>935000</v>
      </c>
      <c r="C4" s="58">
        <f>('3товар'!C4+'3товар'!C5)*1000</f>
        <v>935000</v>
      </c>
      <c r="D4" s="58">
        <f>('3товар'!D4+'3товар'!D5)*1000</f>
        <v>935000</v>
      </c>
      <c r="E4" s="58">
        <f>('3товар'!E4+'3товар'!E5)*1000</f>
        <v>935000</v>
      </c>
      <c r="F4" s="251">
        <f>('3товар'!F4+'3товар'!F5)*1000</f>
        <v>935000</v>
      </c>
      <c r="G4" s="58">
        <f>('3товар'!G4+'3товар'!G5)*1000</f>
        <v>935000</v>
      </c>
      <c r="H4" s="58">
        <f>('3товар'!H4+'3товар'!H5)*1000</f>
        <v>935000</v>
      </c>
      <c r="I4" s="251">
        <f>('3товар'!I4+'3товар'!I5)*1000</f>
        <v>935000</v>
      </c>
      <c r="J4" s="58">
        <f>('3товар'!J4+'3товар'!J5)*1000</f>
        <v>935000</v>
      </c>
      <c r="K4" s="58">
        <f>('3товар'!K4+'3товар'!K5)*1000</f>
        <v>935000</v>
      </c>
      <c r="L4" s="58">
        <f>('3товар'!L4+'3товар'!L5)*1000</f>
        <v>935000</v>
      </c>
      <c r="M4" s="58">
        <f>('3товар'!M4+'3товар'!M5)*1000</f>
        <v>935000</v>
      </c>
      <c r="N4" s="251">
        <f>('3товар'!N4+'3товар'!N5)*1000</f>
        <v>935000</v>
      </c>
      <c r="O4" s="58">
        <f>('3товар'!O4+'3товар'!O5)*1000</f>
        <v>935000</v>
      </c>
      <c r="P4" s="58">
        <f>('3товар'!P4+'3товар'!P5)*1000</f>
        <v>935000</v>
      </c>
      <c r="Q4" s="58">
        <f>('3товар'!Q4+'3товар'!Q5)*1000</f>
        <v>935000</v>
      </c>
      <c r="R4" s="58">
        <f>('3товар'!R4+'3товар'!R5)*1000</f>
        <v>935000</v>
      </c>
      <c r="S4" s="58">
        <f>('3товар'!S4+'3товар'!S5)*1000</f>
        <v>935000</v>
      </c>
      <c r="T4" s="58">
        <f>('3товар'!T4+'3товар'!T5)*1000</f>
        <v>884000</v>
      </c>
      <c r="U4" s="58">
        <f>('3товар'!U4+'3товар'!U5)*1000</f>
        <v>884000</v>
      </c>
      <c r="V4" s="58">
        <f>('3товар'!V4+'3товар'!V5)*1000</f>
        <v>884000</v>
      </c>
      <c r="W4" s="199">
        <f t="shared" si="1"/>
        <v>19482000</v>
      </c>
      <c r="X4" s="189">
        <f>NPV('1сел'!$X$1,B4:V4)</f>
        <v>15802502.492488489</v>
      </c>
    </row>
    <row r="5" spans="1:25" x14ac:dyDescent="0.25">
      <c r="A5" s="244" t="s">
        <v>260</v>
      </c>
      <c r="B5" s="247">
        <f>('2сем'!B4+'2сем'!B9+'2сем'!B10)</f>
        <v>0</v>
      </c>
      <c r="C5" s="247">
        <f>('2сем'!C4+'2сем'!C9+'2сем'!C10)</f>
        <v>0</v>
      </c>
      <c r="D5" s="247">
        <f>('2сем'!D4+'2сем'!D9+'2сем'!D10)</f>
        <v>0</v>
      </c>
      <c r="E5" s="247">
        <f>('2сем'!E4+'2сем'!E9+'2сем'!E10)</f>
        <v>0</v>
      </c>
      <c r="F5" s="253">
        <f>('2сем'!F4+'2сем'!F9+'2сем'!F10)</f>
        <v>0</v>
      </c>
      <c r="G5" s="247">
        <f>('2сем'!G4+'2сем'!G9+'2сем'!G10)</f>
        <v>0</v>
      </c>
      <c r="H5" s="247">
        <f>('2сем'!H4+'2сем'!H9+'2сем'!H10)</f>
        <v>0</v>
      </c>
      <c r="I5" s="253">
        <f>('2сем'!I4+'2сем'!I9+'2сем'!I10)</f>
        <v>0</v>
      </c>
      <c r="J5" s="247">
        <f>('2сем'!J4+'2сем'!J9+'2сем'!J10)</f>
        <v>0</v>
      </c>
      <c r="K5" s="247">
        <f>('2сем'!K4+'2сем'!K9+'2сем'!K10)</f>
        <v>0</v>
      </c>
      <c r="L5" s="247">
        <f>('2сем'!L4+'2сем'!L9+'2сем'!L10)</f>
        <v>0</v>
      </c>
      <c r="M5" s="247">
        <f>('2сем'!M4+'2сем'!M9+'2сем'!M10)</f>
        <v>0</v>
      </c>
      <c r="N5" s="253">
        <f>('2сем'!N4+'2сем'!N9+'2сем'!N10)</f>
        <v>0</v>
      </c>
      <c r="O5" s="247">
        <f>('2сем'!O4+'2сем'!O9+'2сем'!O10)</f>
        <v>0</v>
      </c>
      <c r="P5" s="247">
        <f>('2сем'!P4+'2сем'!P9+'2сем'!P10)</f>
        <v>0</v>
      </c>
      <c r="Q5" s="247">
        <f>('2сем'!Q4+'2сем'!Q9+'2сем'!Q10)</f>
        <v>0</v>
      </c>
      <c r="R5" s="247">
        <f>('2сем'!R4+'2сем'!R9+'2сем'!R10)</f>
        <v>800.00000000000011</v>
      </c>
      <c r="S5" s="247">
        <f>('2сем'!S4+'2сем'!S9+'2сем'!S10)</f>
        <v>800.00000000000011</v>
      </c>
      <c r="T5" s="247">
        <f>('2сем'!T4+'2сем'!T9+'2сем'!T10)</f>
        <v>0</v>
      </c>
      <c r="U5" s="247">
        <f>('2сем'!U4+'2сем'!U9+'2сем'!U10)</f>
        <v>0</v>
      </c>
      <c r="V5" s="247">
        <f>('2сем'!V4+'2сем'!V9+'2сем'!V10)</f>
        <v>0</v>
      </c>
      <c r="W5" s="199">
        <f t="shared" si="1"/>
        <v>1600.0000000000002</v>
      </c>
      <c r="X5" s="189">
        <f>NPV('1сел'!$X$1,B5:V5)</f>
        <v>1131.457549944447</v>
      </c>
    </row>
    <row r="6" spans="1:25" s="37" customFormat="1" ht="12.75" x14ac:dyDescent="0.2">
      <c r="A6" s="40" t="s">
        <v>263</v>
      </c>
      <c r="B6" s="40">
        <f>SUM(B3:B5)</f>
        <v>939397</v>
      </c>
      <c r="C6" s="40">
        <f t="shared" ref="C6:S6" si="2">SUM(C3:C5)</f>
        <v>939397</v>
      </c>
      <c r="D6" s="40">
        <f t="shared" si="2"/>
        <v>939397</v>
      </c>
      <c r="E6" s="40">
        <f t="shared" si="2"/>
        <v>939397</v>
      </c>
      <c r="F6" s="252">
        <f t="shared" si="2"/>
        <v>939397</v>
      </c>
      <c r="G6" s="40">
        <f t="shared" si="2"/>
        <v>939397</v>
      </c>
      <c r="H6" s="40">
        <f t="shared" si="2"/>
        <v>939397</v>
      </c>
      <c r="I6" s="252">
        <f t="shared" si="2"/>
        <v>939397</v>
      </c>
      <c r="J6" s="40">
        <f t="shared" si="2"/>
        <v>939397</v>
      </c>
      <c r="K6" s="40">
        <f t="shared" si="2"/>
        <v>939397</v>
      </c>
      <c r="L6" s="40">
        <f t="shared" si="2"/>
        <v>939397</v>
      </c>
      <c r="M6" s="40">
        <f t="shared" si="2"/>
        <v>939397</v>
      </c>
      <c r="N6" s="252">
        <f t="shared" si="2"/>
        <v>938488</v>
      </c>
      <c r="O6" s="40">
        <f t="shared" si="2"/>
        <v>938488</v>
      </c>
      <c r="P6" s="40">
        <f t="shared" si="2"/>
        <v>935006.3</v>
      </c>
      <c r="Q6" s="40">
        <f t="shared" si="2"/>
        <v>935000</v>
      </c>
      <c r="R6" s="40">
        <f t="shared" si="2"/>
        <v>935800</v>
      </c>
      <c r="S6" s="40">
        <f t="shared" si="2"/>
        <v>937840</v>
      </c>
      <c r="T6" s="40">
        <f>SUM(T3:T5)</f>
        <v>884000</v>
      </c>
      <c r="U6" s="40">
        <f>SUM(U3:U5)</f>
        <v>884000</v>
      </c>
      <c r="V6" s="40">
        <f>SUM(V3:V5)</f>
        <v>884000</v>
      </c>
      <c r="W6" s="200">
        <f t="shared" si="1"/>
        <v>19545386.300000001</v>
      </c>
      <c r="X6" s="189">
        <f>NPV('1сел'!$X$1,B6:V6)</f>
        <v>15856906.537037784</v>
      </c>
      <c r="Y6" s="193"/>
    </row>
    <row r="7" spans="1:25" x14ac:dyDescent="0.25">
      <c r="A7" s="201" t="s">
        <v>264</v>
      </c>
      <c r="W7" s="189">
        <f t="shared" si="1"/>
        <v>0</v>
      </c>
      <c r="X7" s="189">
        <f>NPV('1сел'!$X$1,B7:V7)</f>
        <v>0</v>
      </c>
    </row>
    <row r="8" spans="1:25" x14ac:dyDescent="0.25">
      <c r="A8" s="191" t="s">
        <v>265</v>
      </c>
      <c r="B8" s="215">
        <f>'1сел'!B11</f>
        <v>0</v>
      </c>
      <c r="C8" s="215">
        <f>'1сел'!C11</f>
        <v>0</v>
      </c>
      <c r="D8" s="215">
        <f>'1сел'!D11</f>
        <v>0</v>
      </c>
      <c r="E8" s="215">
        <f>'1сел'!E11</f>
        <v>0</v>
      </c>
      <c r="F8" s="254">
        <f>'1сел'!F11</f>
        <v>0</v>
      </c>
      <c r="G8" s="215">
        <f>'1сел'!G11</f>
        <v>0</v>
      </c>
      <c r="H8" s="215">
        <f>'1сел'!H11</f>
        <v>0</v>
      </c>
      <c r="I8" s="254">
        <f>'1сел'!I11</f>
        <v>0</v>
      </c>
      <c r="J8" s="215">
        <f>'1сел'!J11</f>
        <v>0</v>
      </c>
      <c r="K8" s="215">
        <f>'1сел'!K11</f>
        <v>0</v>
      </c>
      <c r="L8" s="215">
        <f>'1сел'!L11</f>
        <v>0</v>
      </c>
      <c r="M8" s="215">
        <f>'1сел'!M11</f>
        <v>0</v>
      </c>
      <c r="N8" s="254">
        <f>'1сел'!N11</f>
        <v>0</v>
      </c>
      <c r="O8" s="215">
        <f>'1сел'!O11</f>
        <v>0</v>
      </c>
      <c r="P8" s="215">
        <f>'1сел'!P11</f>
        <v>0</v>
      </c>
      <c r="Q8" s="215">
        <f>'1сел'!Q11</f>
        <v>0</v>
      </c>
      <c r="R8" s="215">
        <f>'1сел'!R11</f>
        <v>0</v>
      </c>
      <c r="S8" s="215">
        <f>'1сел'!S11</f>
        <v>0</v>
      </c>
      <c r="T8" s="215">
        <f>'1сел'!T11</f>
        <v>8500</v>
      </c>
      <c r="U8" s="215">
        <f>'1сел'!U11</f>
        <v>8500</v>
      </c>
      <c r="V8" s="215">
        <f>'1сел'!V11</f>
        <v>8500</v>
      </c>
      <c r="W8" s="189">
        <f t="shared" si="1"/>
        <v>25500</v>
      </c>
      <c r="X8" s="189">
        <f>NPV('1сел'!$X$1,B8:V8)</f>
        <v>17163.012232032492</v>
      </c>
    </row>
    <row r="9" spans="1:25" x14ac:dyDescent="0.25">
      <c r="A9" s="191" t="s">
        <v>267</v>
      </c>
      <c r="B9" s="245">
        <f>'3товар'!B6*1000</f>
        <v>2805000</v>
      </c>
      <c r="C9" s="245">
        <f>'3товар'!C6*1000</f>
        <v>2805000</v>
      </c>
      <c r="D9" s="245">
        <f>'3товар'!D6*1000</f>
        <v>2805000</v>
      </c>
      <c r="E9" s="245">
        <f>'3товар'!E6*1000</f>
        <v>2805000</v>
      </c>
      <c r="F9" s="255">
        <f>'3товар'!F6*1000</f>
        <v>2805000</v>
      </c>
      <c r="G9" s="245">
        <f>'3товар'!G6*1000</f>
        <v>2805000</v>
      </c>
      <c r="H9" s="245">
        <f>'3товар'!H6*1000</f>
        <v>2805000</v>
      </c>
      <c r="I9" s="255">
        <f>'3товар'!I6*1000</f>
        <v>2805000</v>
      </c>
      <c r="J9" s="245">
        <f>'3товар'!J6*1000</f>
        <v>2805000</v>
      </c>
      <c r="K9" s="245">
        <f>'3товар'!K6*1000</f>
        <v>2805000</v>
      </c>
      <c r="L9" s="245">
        <f>'3товар'!L6*1000</f>
        <v>2805000</v>
      </c>
      <c r="M9" s="245">
        <f>'3товар'!M6*1000</f>
        <v>2805000</v>
      </c>
      <c r="N9" s="255">
        <f>'3товар'!N6*1000</f>
        <v>2805000</v>
      </c>
      <c r="O9" s="245">
        <f>'3товар'!O6*1000</f>
        <v>2805000</v>
      </c>
      <c r="P9" s="245">
        <f>'3товар'!P6*1000</f>
        <v>2805000</v>
      </c>
      <c r="Q9" s="245">
        <f>'3товар'!Q6*1000</f>
        <v>2805000</v>
      </c>
      <c r="R9" s="245">
        <f>'3товар'!R6*1000</f>
        <v>2805000</v>
      </c>
      <c r="S9" s="245">
        <f>'3товар'!S6*1000</f>
        <v>2805000</v>
      </c>
      <c r="T9" s="245">
        <f>'3товар'!T6*1000</f>
        <v>2805000</v>
      </c>
      <c r="U9" s="245">
        <f>'3товар'!U6*1000</f>
        <v>2805000</v>
      </c>
      <c r="V9" s="245">
        <f>'3товар'!V6*1000</f>
        <v>2805000</v>
      </c>
      <c r="W9" s="189">
        <f t="shared" si="1"/>
        <v>58905000</v>
      </c>
      <c r="X9" s="189">
        <f>NPV('1сел'!$X$1,B9:V9)</f>
        <v>47716441.697642058</v>
      </c>
    </row>
    <row r="10" spans="1:25" x14ac:dyDescent="0.25">
      <c r="A10" s="191" t="s">
        <v>266</v>
      </c>
      <c r="B10" s="215">
        <f>'2сем'!B11</f>
        <v>0</v>
      </c>
      <c r="C10" s="215">
        <f>'2сем'!C11</f>
        <v>0</v>
      </c>
      <c r="D10" s="215">
        <f>'2сем'!D11</f>
        <v>0</v>
      </c>
      <c r="E10" s="215">
        <f>'2сем'!E11</f>
        <v>0</v>
      </c>
      <c r="F10" s="254">
        <f>'2сем'!F11</f>
        <v>0</v>
      </c>
      <c r="G10" s="215">
        <f>'2сем'!G11</f>
        <v>0</v>
      </c>
      <c r="H10" s="215">
        <f>'2сем'!H11</f>
        <v>0</v>
      </c>
      <c r="I10" s="254">
        <f>'2сем'!I11</f>
        <v>0</v>
      </c>
      <c r="J10" s="215">
        <f>'2сем'!J11</f>
        <v>0</v>
      </c>
      <c r="K10" s="215">
        <f>'2сем'!K11</f>
        <v>0</v>
      </c>
      <c r="L10" s="215">
        <f>'2сем'!L11</f>
        <v>0</v>
      </c>
      <c r="M10" s="215">
        <f>'2сем'!M11</f>
        <v>0</v>
      </c>
      <c r="N10" s="254">
        <f>'2сем'!N11</f>
        <v>0</v>
      </c>
      <c r="O10" s="215">
        <f>'2сем'!O11</f>
        <v>0</v>
      </c>
      <c r="P10" s="215">
        <f>'2сем'!P11</f>
        <v>0</v>
      </c>
      <c r="Q10" s="215">
        <f>'2сем'!Q11</f>
        <v>0</v>
      </c>
      <c r="R10" s="215">
        <f>'2сем'!R11</f>
        <v>0</v>
      </c>
      <c r="S10" s="215">
        <f>'2сем'!S11</f>
        <v>2040</v>
      </c>
      <c r="T10" s="215">
        <f>'2сем'!T11</f>
        <v>0</v>
      </c>
      <c r="U10" s="215">
        <f>'2сем'!U11</f>
        <v>0</v>
      </c>
      <c r="V10" s="215">
        <f>'2сем'!V11</f>
        <v>0</v>
      </c>
      <c r="W10" s="189">
        <f t="shared" si="1"/>
        <v>2040</v>
      </c>
      <c r="X10" s="189">
        <f>NPV('1сел'!$X$1,B10:V10)</f>
        <v>1428.325124929871</v>
      </c>
    </row>
    <row r="11" spans="1:25" s="188" customFormat="1" x14ac:dyDescent="0.25">
      <c r="A11" s="194" t="s">
        <v>263</v>
      </c>
      <c r="B11" s="194">
        <f>SUM(B8:B10)</f>
        <v>2805000</v>
      </c>
      <c r="C11" s="194">
        <f t="shared" ref="C11:S11" si="3">SUM(C8:C10)</f>
        <v>2805000</v>
      </c>
      <c r="D11" s="194">
        <f t="shared" si="3"/>
        <v>2805000</v>
      </c>
      <c r="E11" s="194">
        <f t="shared" si="3"/>
        <v>2805000</v>
      </c>
      <c r="F11" s="256">
        <f t="shared" si="3"/>
        <v>2805000</v>
      </c>
      <c r="G11" s="194">
        <f t="shared" si="3"/>
        <v>2805000</v>
      </c>
      <c r="H11" s="194">
        <f t="shared" si="3"/>
        <v>2805000</v>
      </c>
      <c r="I11" s="256">
        <f t="shared" si="3"/>
        <v>2805000</v>
      </c>
      <c r="J11" s="194">
        <f t="shared" si="3"/>
        <v>2805000</v>
      </c>
      <c r="K11" s="194">
        <f t="shared" si="3"/>
        <v>2805000</v>
      </c>
      <c r="L11" s="194">
        <f t="shared" si="3"/>
        <v>2805000</v>
      </c>
      <c r="M11" s="194">
        <f t="shared" si="3"/>
        <v>2805000</v>
      </c>
      <c r="N11" s="256">
        <f t="shared" si="3"/>
        <v>2805000</v>
      </c>
      <c r="O11" s="194">
        <f t="shared" si="3"/>
        <v>2805000</v>
      </c>
      <c r="P11" s="194">
        <f t="shared" si="3"/>
        <v>2805000</v>
      </c>
      <c r="Q11" s="194">
        <f t="shared" si="3"/>
        <v>2805000</v>
      </c>
      <c r="R11" s="194">
        <f t="shared" si="3"/>
        <v>2805000</v>
      </c>
      <c r="S11" s="194">
        <f t="shared" si="3"/>
        <v>2807040</v>
      </c>
      <c r="T11" s="194">
        <f>SUM(T8:T10)</f>
        <v>2813500</v>
      </c>
      <c r="U11" s="194">
        <f>SUM(U8:U10)</f>
        <v>2813500</v>
      </c>
      <c r="V11" s="194">
        <f>SUM(V8:V10)</f>
        <v>2813500</v>
      </c>
      <c r="W11" s="189">
        <f t="shared" si="1"/>
        <v>58932540</v>
      </c>
      <c r="X11" s="189">
        <f>NPV('1сел'!$X$1,B11:V11)</f>
        <v>47735033.034999028</v>
      </c>
    </row>
    <row r="12" spans="1:25" x14ac:dyDescent="0.25">
      <c r="A12" s="48" t="s">
        <v>268</v>
      </c>
      <c r="B12" s="37">
        <f>B8-B3</f>
        <v>-4397</v>
      </c>
      <c r="C12" s="37">
        <f t="shared" ref="C12:S14" si="4">C8-C3</f>
        <v>-4397</v>
      </c>
      <c r="D12" s="37">
        <f t="shared" si="4"/>
        <v>-4397</v>
      </c>
      <c r="E12" s="37">
        <f t="shared" si="4"/>
        <v>-4397</v>
      </c>
      <c r="F12" s="257">
        <f t="shared" si="4"/>
        <v>-4397</v>
      </c>
      <c r="G12" s="37">
        <f t="shared" si="4"/>
        <v>-4397</v>
      </c>
      <c r="H12" s="37">
        <f t="shared" si="4"/>
        <v>-4397</v>
      </c>
      <c r="I12" s="257">
        <f t="shared" si="4"/>
        <v>-4397</v>
      </c>
      <c r="J12" s="37">
        <f t="shared" si="4"/>
        <v>-4397</v>
      </c>
      <c r="K12" s="37">
        <f t="shared" si="4"/>
        <v>-4397</v>
      </c>
      <c r="L12" s="37">
        <f t="shared" si="4"/>
        <v>-4397</v>
      </c>
      <c r="M12" s="37">
        <f t="shared" si="4"/>
        <v>-4397</v>
      </c>
      <c r="N12" s="257">
        <f t="shared" si="4"/>
        <v>-3488</v>
      </c>
      <c r="O12" s="37">
        <f t="shared" si="4"/>
        <v>-3488</v>
      </c>
      <c r="P12" s="37">
        <f t="shared" si="4"/>
        <v>-6.3</v>
      </c>
      <c r="Q12" s="37">
        <f t="shared" si="4"/>
        <v>0</v>
      </c>
      <c r="R12" s="37">
        <f t="shared" si="4"/>
        <v>0</v>
      </c>
      <c r="S12" s="37">
        <f t="shared" si="4"/>
        <v>-2040</v>
      </c>
      <c r="T12" s="37">
        <f t="shared" ref="T12:V14" si="5">T8-T3</f>
        <v>8500</v>
      </c>
      <c r="U12" s="37">
        <f t="shared" si="5"/>
        <v>8500</v>
      </c>
      <c r="V12" s="37">
        <f t="shared" si="5"/>
        <v>8500</v>
      </c>
      <c r="W12" s="189">
        <f t="shared" si="1"/>
        <v>-36286.300000000003</v>
      </c>
      <c r="X12" s="189">
        <f>NPV('1сел'!$X$1,B12:V12)</f>
        <v>-36109.574767312348</v>
      </c>
    </row>
    <row r="13" spans="1:25" x14ac:dyDescent="0.25">
      <c r="A13" s="245" t="s">
        <v>269</v>
      </c>
      <c r="B13" s="245">
        <f>B9-B4</f>
        <v>1870000</v>
      </c>
      <c r="C13" s="245">
        <f t="shared" si="4"/>
        <v>1870000</v>
      </c>
      <c r="D13" s="245">
        <f t="shared" si="4"/>
        <v>1870000</v>
      </c>
      <c r="E13" s="245">
        <f t="shared" si="4"/>
        <v>1870000</v>
      </c>
      <c r="F13" s="255">
        <f t="shared" si="4"/>
        <v>1870000</v>
      </c>
      <c r="G13" s="245">
        <f t="shared" si="4"/>
        <v>1870000</v>
      </c>
      <c r="H13" s="245">
        <f t="shared" si="4"/>
        <v>1870000</v>
      </c>
      <c r="I13" s="255">
        <f t="shared" si="4"/>
        <v>1870000</v>
      </c>
      <c r="J13" s="245">
        <f t="shared" si="4"/>
        <v>1870000</v>
      </c>
      <c r="K13" s="245">
        <f t="shared" si="4"/>
        <v>1870000</v>
      </c>
      <c r="L13" s="245">
        <f t="shared" si="4"/>
        <v>1870000</v>
      </c>
      <c r="M13" s="245">
        <f t="shared" si="4"/>
        <v>1870000</v>
      </c>
      <c r="N13" s="255">
        <f t="shared" si="4"/>
        <v>1870000</v>
      </c>
      <c r="O13" s="245">
        <f t="shared" si="4"/>
        <v>1870000</v>
      </c>
      <c r="P13" s="245">
        <f t="shared" si="4"/>
        <v>1870000</v>
      </c>
      <c r="Q13" s="245">
        <f t="shared" si="4"/>
        <v>1870000</v>
      </c>
      <c r="R13" s="245">
        <f t="shared" si="4"/>
        <v>1870000</v>
      </c>
      <c r="S13" s="245">
        <f t="shared" si="4"/>
        <v>1870000</v>
      </c>
      <c r="T13" s="245">
        <f t="shared" si="5"/>
        <v>1921000</v>
      </c>
      <c r="U13" s="245">
        <f t="shared" si="5"/>
        <v>1921000</v>
      </c>
      <c r="V13" s="245">
        <f t="shared" si="5"/>
        <v>1921000</v>
      </c>
      <c r="W13" s="189">
        <f t="shared" si="1"/>
        <v>39423000</v>
      </c>
      <c r="X13" s="189">
        <f>NPV('1сел'!$X$1,B13:V13)</f>
        <v>31913939.205153566</v>
      </c>
    </row>
    <row r="14" spans="1:25" x14ac:dyDescent="0.25">
      <c r="A14" s="48" t="s">
        <v>270</v>
      </c>
      <c r="B14" s="246">
        <f>B10-B5</f>
        <v>0</v>
      </c>
      <c r="C14" s="246">
        <f t="shared" si="4"/>
        <v>0</v>
      </c>
      <c r="D14" s="246">
        <f t="shared" si="4"/>
        <v>0</v>
      </c>
      <c r="E14" s="246">
        <f t="shared" si="4"/>
        <v>0</v>
      </c>
      <c r="F14" s="258">
        <f t="shared" si="4"/>
        <v>0</v>
      </c>
      <c r="G14" s="246">
        <f t="shared" si="4"/>
        <v>0</v>
      </c>
      <c r="H14" s="246">
        <f t="shared" si="4"/>
        <v>0</v>
      </c>
      <c r="I14" s="258">
        <f t="shared" si="4"/>
        <v>0</v>
      </c>
      <c r="J14" s="246">
        <f t="shared" si="4"/>
        <v>0</v>
      </c>
      <c r="K14" s="246">
        <f t="shared" si="4"/>
        <v>0</v>
      </c>
      <c r="L14" s="246">
        <f t="shared" si="4"/>
        <v>0</v>
      </c>
      <c r="M14" s="246">
        <f t="shared" si="4"/>
        <v>0</v>
      </c>
      <c r="N14" s="258">
        <f t="shared" si="4"/>
        <v>0</v>
      </c>
      <c r="O14" s="246">
        <f t="shared" si="4"/>
        <v>0</v>
      </c>
      <c r="P14" s="246">
        <f t="shared" si="4"/>
        <v>0</v>
      </c>
      <c r="Q14" s="246">
        <f t="shared" si="4"/>
        <v>0</v>
      </c>
      <c r="R14" s="246">
        <f t="shared" si="4"/>
        <v>-800.00000000000011</v>
      </c>
      <c r="S14" s="246">
        <f t="shared" si="4"/>
        <v>1240</v>
      </c>
      <c r="T14" s="246">
        <f t="shared" si="5"/>
        <v>0</v>
      </c>
      <c r="U14" s="246">
        <f t="shared" si="5"/>
        <v>0</v>
      </c>
      <c r="V14" s="246">
        <f t="shared" si="5"/>
        <v>0</v>
      </c>
      <c r="W14" s="189">
        <f t="shared" si="1"/>
        <v>439.99999999999989</v>
      </c>
      <c r="X14" s="189">
        <f>NPV('1сел'!$X$1,B14:V14)</f>
        <v>296.86757498542408</v>
      </c>
    </row>
    <row r="15" spans="1:25" x14ac:dyDescent="0.25">
      <c r="A15" s="48" t="s">
        <v>271</v>
      </c>
      <c r="B15" s="37">
        <f>SUM(B12:B14)</f>
        <v>1865603</v>
      </c>
      <c r="C15" s="37">
        <f t="shared" ref="C15:S15" si="6">SUM(C12:C14)</f>
        <v>1865603</v>
      </c>
      <c r="D15" s="37">
        <f t="shared" si="6"/>
        <v>1865603</v>
      </c>
      <c r="E15" s="37">
        <f t="shared" si="6"/>
        <v>1865603</v>
      </c>
      <c r="F15" s="257">
        <f t="shared" si="6"/>
        <v>1865603</v>
      </c>
      <c r="G15" s="37">
        <f t="shared" si="6"/>
        <v>1865603</v>
      </c>
      <c r="H15" s="37">
        <f t="shared" si="6"/>
        <v>1865603</v>
      </c>
      <c r="I15" s="257">
        <f t="shared" si="6"/>
        <v>1865603</v>
      </c>
      <c r="J15" s="37">
        <f t="shared" si="6"/>
        <v>1865603</v>
      </c>
      <c r="K15" s="37">
        <f t="shared" si="6"/>
        <v>1865603</v>
      </c>
      <c r="L15" s="37">
        <f t="shared" si="6"/>
        <v>1865603</v>
      </c>
      <c r="M15" s="37">
        <f t="shared" si="6"/>
        <v>1865603</v>
      </c>
      <c r="N15" s="257">
        <f t="shared" si="6"/>
        <v>1866512</v>
      </c>
      <c r="O15" s="37">
        <f t="shared" si="6"/>
        <v>1866512</v>
      </c>
      <c r="P15" s="37">
        <f t="shared" si="6"/>
        <v>1869993.7</v>
      </c>
      <c r="Q15" s="37">
        <f t="shared" si="6"/>
        <v>1870000</v>
      </c>
      <c r="R15" s="37">
        <f t="shared" si="6"/>
        <v>1869200</v>
      </c>
      <c r="S15" s="37">
        <f t="shared" si="6"/>
        <v>1869200</v>
      </c>
      <c r="T15" s="37">
        <f>SUM(T12:T14)</f>
        <v>1929500</v>
      </c>
      <c r="U15" s="37">
        <f>SUM(U12:U14)</f>
        <v>1929500</v>
      </c>
      <c r="V15" s="37">
        <f>SUM(V12:V14)</f>
        <v>1929500</v>
      </c>
      <c r="W15" s="277">
        <f t="shared" si="1"/>
        <v>39387153.700000003</v>
      </c>
      <c r="X15" s="189">
        <f>NPV('1сел'!$X$1,B15:V15)</f>
        <v>31878126.497961242</v>
      </c>
    </row>
    <row r="16" spans="1:25" s="146" customFormat="1" x14ac:dyDescent="0.25">
      <c r="A16" s="195" t="s">
        <v>318</v>
      </c>
      <c r="B16" s="196">
        <f t="shared" ref="B16:S16" si="7">B21-B15</f>
        <v>0</v>
      </c>
      <c r="C16" s="196">
        <f t="shared" si="7"/>
        <v>0</v>
      </c>
      <c r="D16" s="196">
        <f t="shared" si="7"/>
        <v>0</v>
      </c>
      <c r="E16" s="196">
        <f t="shared" si="7"/>
        <v>0</v>
      </c>
      <c r="F16" s="196">
        <f t="shared" si="7"/>
        <v>0</v>
      </c>
      <c r="G16" s="196">
        <f t="shared" si="7"/>
        <v>0</v>
      </c>
      <c r="H16" s="196">
        <f t="shared" si="7"/>
        <v>0</v>
      </c>
      <c r="I16" s="196">
        <f t="shared" si="7"/>
        <v>0</v>
      </c>
      <c r="J16" s="196">
        <f t="shared" si="7"/>
        <v>0</v>
      </c>
      <c r="K16" s="196">
        <f t="shared" si="7"/>
        <v>0</v>
      </c>
      <c r="L16" s="196">
        <f t="shared" si="7"/>
        <v>0</v>
      </c>
      <c r="M16" s="196">
        <f t="shared" si="7"/>
        <v>0</v>
      </c>
      <c r="N16" s="196">
        <f t="shared" si="7"/>
        <v>0</v>
      </c>
      <c r="O16" s="196">
        <f t="shared" si="7"/>
        <v>0</v>
      </c>
      <c r="P16" s="196">
        <f t="shared" si="7"/>
        <v>0</v>
      </c>
      <c r="Q16" s="196">
        <f t="shared" si="7"/>
        <v>0</v>
      </c>
      <c r="R16" s="196">
        <f t="shared" si="7"/>
        <v>0</v>
      </c>
      <c r="S16" s="196">
        <f t="shared" si="7"/>
        <v>0</v>
      </c>
      <c r="T16" s="196">
        <f>T21-T15</f>
        <v>0</v>
      </c>
      <c r="U16" s="196">
        <f>U21-U15</f>
        <v>0</v>
      </c>
      <c r="V16" s="196">
        <f>V21-V15</f>
        <v>0</v>
      </c>
      <c r="W16" s="197">
        <f t="shared" si="1"/>
        <v>0</v>
      </c>
      <c r="X16" s="189">
        <f>NPV('1сел'!$X$1,B16:V16)</f>
        <v>0</v>
      </c>
      <c r="Y16" s="198"/>
    </row>
    <row r="17" spans="1:25" x14ac:dyDescent="0.25">
      <c r="A17" s="48" t="s">
        <v>272</v>
      </c>
      <c r="B17" s="48">
        <f>B11-B6</f>
        <v>1865603</v>
      </c>
      <c r="C17" s="48">
        <f t="shared" ref="C17:S17" si="8">C11-C6</f>
        <v>1865603</v>
      </c>
      <c r="D17" s="48">
        <f t="shared" si="8"/>
        <v>1865603</v>
      </c>
      <c r="E17" s="48">
        <f t="shared" si="8"/>
        <v>1865603</v>
      </c>
      <c r="F17" s="195">
        <f t="shared" si="8"/>
        <v>1865603</v>
      </c>
      <c r="G17" s="48">
        <f t="shared" si="8"/>
        <v>1865603</v>
      </c>
      <c r="H17" s="48">
        <f t="shared" si="8"/>
        <v>1865603</v>
      </c>
      <c r="I17" s="195">
        <f t="shared" si="8"/>
        <v>1865603</v>
      </c>
      <c r="J17" s="48">
        <f t="shared" si="8"/>
        <v>1865603</v>
      </c>
      <c r="K17" s="48">
        <f t="shared" si="8"/>
        <v>1865603</v>
      </c>
      <c r="L17" s="48">
        <f t="shared" si="8"/>
        <v>1865603</v>
      </c>
      <c r="M17" s="48">
        <f t="shared" si="8"/>
        <v>1865603</v>
      </c>
      <c r="N17" s="195">
        <f t="shared" si="8"/>
        <v>1866512</v>
      </c>
      <c r="O17" s="48">
        <f t="shared" si="8"/>
        <v>1866512</v>
      </c>
      <c r="P17" s="48">
        <f t="shared" si="8"/>
        <v>1869993.7</v>
      </c>
      <c r="Q17" s="48">
        <f t="shared" si="8"/>
        <v>1870000</v>
      </c>
      <c r="R17" s="48">
        <f t="shared" si="8"/>
        <v>1869200</v>
      </c>
      <c r="S17" s="48">
        <f t="shared" si="8"/>
        <v>1869200</v>
      </c>
      <c r="T17" s="48">
        <f>T11-T6</f>
        <v>1929500</v>
      </c>
      <c r="U17" s="48">
        <f>U11-U6</f>
        <v>1929500</v>
      </c>
      <c r="V17" s="48">
        <f>V11-V6</f>
        <v>1929500</v>
      </c>
      <c r="W17" s="277">
        <f t="shared" si="1"/>
        <v>39387153.700000003</v>
      </c>
      <c r="X17" s="189">
        <f>NPV('1сел'!$X$1,B17:V17)</f>
        <v>31878126.497961242</v>
      </c>
    </row>
    <row r="18" spans="1:25" s="21" customFormat="1" ht="12.75" x14ac:dyDescent="0.2">
      <c r="A18" s="21" t="s">
        <v>85</v>
      </c>
      <c r="B18" s="248">
        <f>'1сел'!B13</f>
        <v>-4397</v>
      </c>
      <c r="C18" s="248">
        <f>'1сел'!C13</f>
        <v>-4397</v>
      </c>
      <c r="D18" s="248">
        <f>'1сел'!D13</f>
        <v>-4397</v>
      </c>
      <c r="E18" s="248">
        <f>'1сел'!E13</f>
        <v>-4397</v>
      </c>
      <c r="F18" s="259">
        <f>'1сел'!F13</f>
        <v>-4397</v>
      </c>
      <c r="G18" s="248">
        <f>'1сел'!G13</f>
        <v>-4397</v>
      </c>
      <c r="H18" s="248">
        <f>'1сел'!H13</f>
        <v>-4397</v>
      </c>
      <c r="I18" s="259">
        <f>'1сел'!I13</f>
        <v>-4397</v>
      </c>
      <c r="J18" s="248">
        <f>'1сел'!J13</f>
        <v>-4397</v>
      </c>
      <c r="K18" s="248">
        <f>'1сел'!K13</f>
        <v>-4397</v>
      </c>
      <c r="L18" s="248">
        <f>'1сел'!L13</f>
        <v>-4397</v>
      </c>
      <c r="M18" s="248">
        <f>'1сел'!M13</f>
        <v>-4397</v>
      </c>
      <c r="N18" s="259">
        <f>'1сел'!N13</f>
        <v>-3488</v>
      </c>
      <c r="O18" s="248">
        <f>'1сел'!O13</f>
        <v>-3488</v>
      </c>
      <c r="P18" s="249">
        <f>'1сел'!P13</f>
        <v>-6.3</v>
      </c>
      <c r="Q18" s="248">
        <f>'1сел'!Q13</f>
        <v>0</v>
      </c>
      <c r="R18" s="248">
        <f>'1сел'!R13</f>
        <v>0</v>
      </c>
      <c r="S18" s="248">
        <f>'1сел'!S13</f>
        <v>-2040</v>
      </c>
      <c r="T18" s="248">
        <f>'1сел'!T13</f>
        <v>8500</v>
      </c>
      <c r="U18" s="248">
        <f>'1сел'!U13</f>
        <v>8500</v>
      </c>
      <c r="V18" s="248">
        <f>'1сел'!V13</f>
        <v>8500</v>
      </c>
      <c r="W18" s="189">
        <f t="shared" si="1"/>
        <v>-36286.300000000003</v>
      </c>
      <c r="X18" s="189">
        <f>NPV('1сел'!$X$1,B18:V18)</f>
        <v>-36109.574767312348</v>
      </c>
      <c r="Y18" s="190">
        <f>W18/$W$21</f>
        <v>-9.2127246046723097E-4</v>
      </c>
    </row>
    <row r="19" spans="1:25" x14ac:dyDescent="0.25">
      <c r="A19" t="s">
        <v>86</v>
      </c>
      <c r="B19" s="48">
        <f>'3товар'!B7*1000</f>
        <v>1870000</v>
      </c>
      <c r="C19" s="48">
        <f>'3товар'!C7*1000</f>
        <v>1870000</v>
      </c>
      <c r="D19" s="48">
        <f>'3товар'!D7*1000</f>
        <v>1870000</v>
      </c>
      <c r="E19" s="48">
        <f>'3товар'!E7*1000</f>
        <v>1870000</v>
      </c>
      <c r="F19" s="195">
        <f>'3товар'!F7*1000</f>
        <v>1870000</v>
      </c>
      <c r="G19" s="48">
        <f>'3товар'!G7*1000</f>
        <v>1870000</v>
      </c>
      <c r="H19" s="48">
        <f>'3товар'!H7*1000</f>
        <v>1870000</v>
      </c>
      <c r="I19" s="195">
        <f>'3товар'!I7*1000</f>
        <v>1870000</v>
      </c>
      <c r="J19" s="48">
        <f>'3товар'!J7*1000</f>
        <v>1870000</v>
      </c>
      <c r="K19" s="48">
        <f>'3товар'!K7*1000</f>
        <v>1870000</v>
      </c>
      <c r="L19" s="48">
        <f>'3товар'!L7*1000</f>
        <v>1870000</v>
      </c>
      <c r="M19" s="48">
        <f>'3товар'!M7*1000</f>
        <v>1870000</v>
      </c>
      <c r="N19" s="48">
        <f>'3товар'!N7*1000</f>
        <v>1870000</v>
      </c>
      <c r="O19" s="48">
        <f>'3товар'!O7*1000</f>
        <v>1870000</v>
      </c>
      <c r="P19" s="48">
        <f>'3товар'!P7*1000</f>
        <v>1870000</v>
      </c>
      <c r="Q19" s="48">
        <f>'3товар'!Q7*1000</f>
        <v>1870000</v>
      </c>
      <c r="R19" s="48">
        <f>'3товар'!R7*1000</f>
        <v>1870000</v>
      </c>
      <c r="S19" s="48">
        <f>'3товар'!S7*1000</f>
        <v>1870000</v>
      </c>
      <c r="T19" s="48">
        <f>'3товар'!T7*1000</f>
        <v>1921000</v>
      </c>
      <c r="U19" s="48">
        <f>'3товар'!U7*1000</f>
        <v>1921000</v>
      </c>
      <c r="V19" s="48">
        <f>'3товар'!V7*1000</f>
        <v>1921000</v>
      </c>
      <c r="W19" s="189">
        <f t="shared" si="1"/>
        <v>39423000</v>
      </c>
      <c r="X19" s="189">
        <f>NPV('1сел'!$X$1,B19:V19)</f>
        <v>31913939.205153566</v>
      </c>
      <c r="Y19" s="190">
        <f>W19/$W$21</f>
        <v>1.0009101013054416</v>
      </c>
    </row>
    <row r="20" spans="1:25" x14ac:dyDescent="0.25">
      <c r="A20" t="s">
        <v>87</v>
      </c>
      <c r="B20" s="215">
        <f>'2сем'!B13</f>
        <v>0</v>
      </c>
      <c r="C20" s="215">
        <f>'2сем'!C13</f>
        <v>0</v>
      </c>
      <c r="D20" s="215">
        <f>'2сем'!D13</f>
        <v>0</v>
      </c>
      <c r="E20" s="215">
        <f>'2сем'!E13</f>
        <v>0</v>
      </c>
      <c r="F20" s="215">
        <f>'2сем'!F13</f>
        <v>0</v>
      </c>
      <c r="G20" s="215">
        <f>'2сем'!G13</f>
        <v>0</v>
      </c>
      <c r="H20" s="215">
        <f>'2сем'!H13</f>
        <v>0</v>
      </c>
      <c r="I20" s="215">
        <f>'2сем'!I13</f>
        <v>0</v>
      </c>
      <c r="J20" s="215">
        <f>'2сем'!J13</f>
        <v>0</v>
      </c>
      <c r="K20" s="215">
        <f>'2сем'!K13</f>
        <v>0</v>
      </c>
      <c r="L20" s="215">
        <f>'2сем'!L13</f>
        <v>0</v>
      </c>
      <c r="M20" s="215">
        <f>'2сем'!M13</f>
        <v>0</v>
      </c>
      <c r="N20" s="254">
        <f>'2сем'!N13</f>
        <v>0</v>
      </c>
      <c r="O20" s="215">
        <f>'2сем'!O13</f>
        <v>0</v>
      </c>
      <c r="P20" s="215">
        <f>'2сем'!P13</f>
        <v>0</v>
      </c>
      <c r="Q20" s="215">
        <f>'2сем'!Q13</f>
        <v>0</v>
      </c>
      <c r="R20" s="215">
        <f>'2сем'!R13</f>
        <v>-800.00000000000011</v>
      </c>
      <c r="S20" s="215">
        <f>'2сем'!S13</f>
        <v>1240</v>
      </c>
      <c r="T20" s="215">
        <f>'2сем'!T13</f>
        <v>0</v>
      </c>
      <c r="U20" s="215">
        <f>'2сем'!U13</f>
        <v>0</v>
      </c>
      <c r="V20" s="215">
        <f>'2сем'!V13</f>
        <v>0</v>
      </c>
      <c r="W20" s="189">
        <f t="shared" si="1"/>
        <v>439.99999999999989</v>
      </c>
      <c r="X20" s="189">
        <f>NPV('1сел'!$X$1,B20:V20)</f>
        <v>296.86757498542408</v>
      </c>
      <c r="Y20" s="190">
        <f>W20/$W$21</f>
        <v>1.1171155025604194E-5</v>
      </c>
    </row>
    <row r="21" spans="1:25" s="192" customFormat="1" ht="12.75" x14ac:dyDescent="0.2">
      <c r="A21" s="192" t="s">
        <v>88</v>
      </c>
      <c r="B21" s="250">
        <f t="shared" ref="B21:S21" si="9">SUM(B18:B20)</f>
        <v>1865603</v>
      </c>
      <c r="C21" s="250">
        <f t="shared" si="9"/>
        <v>1865603</v>
      </c>
      <c r="D21" s="250">
        <f t="shared" si="9"/>
        <v>1865603</v>
      </c>
      <c r="E21" s="250">
        <f t="shared" si="9"/>
        <v>1865603</v>
      </c>
      <c r="F21" s="260">
        <f t="shared" si="9"/>
        <v>1865603</v>
      </c>
      <c r="G21" s="250">
        <f t="shared" si="9"/>
        <v>1865603</v>
      </c>
      <c r="H21" s="250">
        <f t="shared" si="9"/>
        <v>1865603</v>
      </c>
      <c r="I21" s="260">
        <f t="shared" si="9"/>
        <v>1865603</v>
      </c>
      <c r="J21" s="250">
        <f t="shared" si="9"/>
        <v>1865603</v>
      </c>
      <c r="K21" s="250">
        <f t="shared" si="9"/>
        <v>1865603</v>
      </c>
      <c r="L21" s="250">
        <f t="shared" si="9"/>
        <v>1865603</v>
      </c>
      <c r="M21" s="250">
        <f t="shared" si="9"/>
        <v>1865603</v>
      </c>
      <c r="N21" s="260">
        <f t="shared" si="9"/>
        <v>1866512</v>
      </c>
      <c r="O21" s="250">
        <f t="shared" si="9"/>
        <v>1866512</v>
      </c>
      <c r="P21" s="250">
        <f t="shared" si="9"/>
        <v>1869993.7</v>
      </c>
      <c r="Q21" s="250">
        <f t="shared" si="9"/>
        <v>1870000</v>
      </c>
      <c r="R21" s="250">
        <f t="shared" si="9"/>
        <v>1869200</v>
      </c>
      <c r="S21" s="250">
        <f t="shared" si="9"/>
        <v>1869200</v>
      </c>
      <c r="T21" s="250">
        <f>SUM(T18:T20)</f>
        <v>1929500</v>
      </c>
      <c r="U21" s="250">
        <f>SUM(U18:U20)</f>
        <v>1929500</v>
      </c>
      <c r="V21" s="250">
        <f>SUM(V18:V20)</f>
        <v>1929500</v>
      </c>
      <c r="W21" s="277">
        <f t="shared" si="1"/>
        <v>39387153.700000003</v>
      </c>
      <c r="X21" s="189">
        <f>NPV('1сел'!$X$1,B21:V21)</f>
        <v>31878126.497961242</v>
      </c>
      <c r="Y21" s="190">
        <f>W21/$W$21</f>
        <v>1</v>
      </c>
    </row>
    <row r="22" spans="1:25" s="192" customFormat="1" ht="12.75" x14ac:dyDescent="0.2">
      <c r="A22" s="48" t="s">
        <v>335</v>
      </c>
      <c r="B22" s="250"/>
      <c r="C22" s="250"/>
      <c r="D22" s="250"/>
      <c r="E22" s="250"/>
      <c r="F22" s="260"/>
      <c r="G22" s="250"/>
      <c r="H22" s="250"/>
      <c r="I22" s="260"/>
      <c r="J22" s="250"/>
      <c r="K22" s="250"/>
      <c r="L22" s="250"/>
      <c r="M22" s="250"/>
      <c r="N22" s="260"/>
      <c r="O22" s="250"/>
      <c r="P22" s="250"/>
      <c r="Q22" s="250"/>
      <c r="R22" s="250"/>
      <c r="S22" s="250"/>
      <c r="T22" s="250"/>
      <c r="U22" s="250"/>
      <c r="V22" s="250"/>
      <c r="W22" s="189"/>
      <c r="X22" s="189"/>
      <c r="Y22" s="190"/>
    </row>
    <row r="23" spans="1:25" s="192" customFormat="1" ht="12.75" x14ac:dyDescent="0.2">
      <c r="A23" s="192" t="s">
        <v>320</v>
      </c>
      <c r="B23" s="250">
        <f>B18</f>
        <v>-4397</v>
      </c>
      <c r="C23" s="250">
        <f>B23+C18</f>
        <v>-8794</v>
      </c>
      <c r="D23" s="250">
        <f t="shared" ref="D23:S25" si="10">C23+D18</f>
        <v>-13191</v>
      </c>
      <c r="E23" s="250">
        <f t="shared" si="10"/>
        <v>-17588</v>
      </c>
      <c r="F23" s="250">
        <f t="shared" si="10"/>
        <v>-21985</v>
      </c>
      <c r="G23" s="250">
        <f t="shared" si="10"/>
        <v>-26382</v>
      </c>
      <c r="H23" s="250">
        <f t="shared" si="10"/>
        <v>-30779</v>
      </c>
      <c r="I23" s="250">
        <f t="shared" si="10"/>
        <v>-35176</v>
      </c>
      <c r="J23" s="250">
        <f t="shared" si="10"/>
        <v>-39573</v>
      </c>
      <c r="K23" s="250">
        <f t="shared" si="10"/>
        <v>-43970</v>
      </c>
      <c r="L23" s="250">
        <f t="shared" si="10"/>
        <v>-48367</v>
      </c>
      <c r="M23" s="250">
        <f t="shared" si="10"/>
        <v>-52764</v>
      </c>
      <c r="N23" s="250">
        <f t="shared" si="10"/>
        <v>-56252</v>
      </c>
      <c r="O23" s="250">
        <f t="shared" si="10"/>
        <v>-59740</v>
      </c>
      <c r="P23" s="250">
        <f t="shared" si="10"/>
        <v>-59746.3</v>
      </c>
      <c r="Q23" s="250">
        <f t="shared" si="10"/>
        <v>-59746.3</v>
      </c>
      <c r="R23" s="250">
        <f t="shared" si="10"/>
        <v>-59746.3</v>
      </c>
      <c r="S23" s="250">
        <f t="shared" si="10"/>
        <v>-61786.3</v>
      </c>
      <c r="T23" s="250">
        <f t="shared" ref="T23:V25" si="11">S23+T18</f>
        <v>-53286.3</v>
      </c>
      <c r="U23" s="250">
        <f t="shared" si="11"/>
        <v>-44786.3</v>
      </c>
      <c r="V23" s="250">
        <f t="shared" si="11"/>
        <v>-36286.300000000003</v>
      </c>
      <c r="W23" s="189" t="s">
        <v>338</v>
      </c>
      <c r="X23" s="189"/>
      <c r="Y23" s="190"/>
    </row>
    <row r="24" spans="1:25" s="192" customFormat="1" ht="12.75" x14ac:dyDescent="0.2">
      <c r="A24" s="192" t="s">
        <v>336</v>
      </c>
      <c r="B24" s="250">
        <f>B19</f>
        <v>1870000</v>
      </c>
      <c r="C24" s="250">
        <f t="shared" ref="C24:R25" si="12">B24+C19</f>
        <v>3740000</v>
      </c>
      <c r="D24" s="250">
        <f t="shared" si="12"/>
        <v>5610000</v>
      </c>
      <c r="E24" s="250">
        <f t="shared" si="12"/>
        <v>7480000</v>
      </c>
      <c r="F24" s="250">
        <f t="shared" si="12"/>
        <v>9350000</v>
      </c>
      <c r="G24" s="250">
        <f t="shared" si="12"/>
        <v>11220000</v>
      </c>
      <c r="H24" s="250">
        <f t="shared" si="12"/>
        <v>13090000</v>
      </c>
      <c r="I24" s="250">
        <f t="shared" si="12"/>
        <v>14960000</v>
      </c>
      <c r="J24" s="250">
        <f t="shared" si="12"/>
        <v>16830000</v>
      </c>
      <c r="K24" s="250">
        <f t="shared" si="12"/>
        <v>18700000</v>
      </c>
      <c r="L24" s="250">
        <f t="shared" si="12"/>
        <v>20570000</v>
      </c>
      <c r="M24" s="250">
        <f t="shared" si="12"/>
        <v>22440000</v>
      </c>
      <c r="N24" s="250">
        <f t="shared" si="12"/>
        <v>24310000</v>
      </c>
      <c r="O24" s="250">
        <f t="shared" si="12"/>
        <v>26180000</v>
      </c>
      <c r="P24" s="250">
        <f t="shared" si="12"/>
        <v>28050000</v>
      </c>
      <c r="Q24" s="250">
        <f t="shared" si="12"/>
        <v>29920000</v>
      </c>
      <c r="R24" s="250">
        <f t="shared" si="12"/>
        <v>31790000</v>
      </c>
      <c r="S24" s="250">
        <f t="shared" si="10"/>
        <v>33660000</v>
      </c>
      <c r="T24" s="250">
        <f t="shared" si="11"/>
        <v>35581000</v>
      </c>
      <c r="U24" s="250">
        <f t="shared" si="11"/>
        <v>37502000</v>
      </c>
      <c r="V24" s="250">
        <f t="shared" si="11"/>
        <v>39423000</v>
      </c>
      <c r="W24" s="189"/>
      <c r="X24" s="189"/>
      <c r="Y24" s="190"/>
    </row>
    <row r="25" spans="1:25" s="192" customFormat="1" ht="12.75" x14ac:dyDescent="0.2">
      <c r="A25" s="192" t="s">
        <v>322</v>
      </c>
      <c r="B25" s="250">
        <f>B20</f>
        <v>0</v>
      </c>
      <c r="C25" s="250">
        <f t="shared" si="12"/>
        <v>0</v>
      </c>
      <c r="D25" s="250">
        <f t="shared" si="10"/>
        <v>0</v>
      </c>
      <c r="E25" s="250">
        <f t="shared" si="10"/>
        <v>0</v>
      </c>
      <c r="F25" s="250">
        <f t="shared" si="10"/>
        <v>0</v>
      </c>
      <c r="G25" s="250">
        <f t="shared" si="10"/>
        <v>0</v>
      </c>
      <c r="H25" s="250">
        <f t="shared" si="10"/>
        <v>0</v>
      </c>
      <c r="I25" s="250">
        <f t="shared" si="10"/>
        <v>0</v>
      </c>
      <c r="J25" s="250">
        <f t="shared" si="10"/>
        <v>0</v>
      </c>
      <c r="K25" s="250">
        <f t="shared" si="10"/>
        <v>0</v>
      </c>
      <c r="L25" s="250">
        <f t="shared" si="10"/>
        <v>0</v>
      </c>
      <c r="M25" s="250">
        <f t="shared" si="10"/>
        <v>0</v>
      </c>
      <c r="N25" s="250">
        <f t="shared" si="10"/>
        <v>0</v>
      </c>
      <c r="O25" s="250">
        <f t="shared" si="10"/>
        <v>0</v>
      </c>
      <c r="P25" s="250">
        <f t="shared" si="10"/>
        <v>0</v>
      </c>
      <c r="Q25" s="250">
        <f t="shared" si="10"/>
        <v>0</v>
      </c>
      <c r="R25" s="250">
        <f t="shared" si="10"/>
        <v>-800.00000000000011</v>
      </c>
      <c r="S25" s="250">
        <f t="shared" si="10"/>
        <v>439.99999999999989</v>
      </c>
      <c r="T25" s="250">
        <f t="shared" si="11"/>
        <v>439.99999999999989</v>
      </c>
      <c r="U25" s="250">
        <f t="shared" si="11"/>
        <v>439.99999999999989</v>
      </c>
      <c r="V25" s="250">
        <f t="shared" si="11"/>
        <v>439.99999999999989</v>
      </c>
      <c r="W25" s="189"/>
      <c r="X25" s="189"/>
      <c r="Y25" s="190"/>
    </row>
    <row r="26" spans="1:25" s="192" customFormat="1" ht="12.75" x14ac:dyDescent="0.2">
      <c r="A26" s="192" t="s">
        <v>337</v>
      </c>
      <c r="B26" s="250">
        <f>SUM(B23:B25)</f>
        <v>1865603</v>
      </c>
      <c r="C26" s="250">
        <f>B26+SUM(C18:C20)</f>
        <v>3731206</v>
      </c>
      <c r="D26" s="250">
        <f t="shared" ref="D26:S26" si="13">C26+SUM(D18:D20)</f>
        <v>5596809</v>
      </c>
      <c r="E26" s="250">
        <f t="shared" si="13"/>
        <v>7462412</v>
      </c>
      <c r="F26" s="250">
        <f t="shared" si="13"/>
        <v>9328015</v>
      </c>
      <c r="G26" s="250">
        <f t="shared" si="13"/>
        <v>11193618</v>
      </c>
      <c r="H26" s="250">
        <f t="shared" si="13"/>
        <v>13059221</v>
      </c>
      <c r="I26" s="250">
        <f t="shared" si="13"/>
        <v>14924824</v>
      </c>
      <c r="J26" s="250">
        <f t="shared" si="13"/>
        <v>16790427</v>
      </c>
      <c r="K26" s="250">
        <f t="shared" si="13"/>
        <v>18656030</v>
      </c>
      <c r="L26" s="250">
        <f t="shared" si="13"/>
        <v>20521633</v>
      </c>
      <c r="M26" s="250">
        <f t="shared" si="13"/>
        <v>22387236</v>
      </c>
      <c r="N26" s="250">
        <f t="shared" si="13"/>
        <v>24253748</v>
      </c>
      <c r="O26" s="250">
        <f t="shared" si="13"/>
        <v>26120260</v>
      </c>
      <c r="P26" s="250">
        <f t="shared" si="13"/>
        <v>27990253.699999999</v>
      </c>
      <c r="Q26" s="250">
        <f t="shared" si="13"/>
        <v>29860253.699999999</v>
      </c>
      <c r="R26" s="250">
        <f t="shared" si="13"/>
        <v>31729453.699999999</v>
      </c>
      <c r="S26" s="250">
        <f t="shared" si="13"/>
        <v>33598653.700000003</v>
      </c>
      <c r="T26" s="250">
        <f>S26+SUM(T18:T20)</f>
        <v>35528153.700000003</v>
      </c>
      <c r="U26" s="250">
        <f>T26+SUM(U18:U20)</f>
        <v>37457653.700000003</v>
      </c>
      <c r="V26" s="250">
        <f>U26+SUM(V18:V20)</f>
        <v>39387153.700000003</v>
      </c>
      <c r="W26" s="189"/>
      <c r="X26" s="189"/>
      <c r="Y26" s="190"/>
    </row>
    <row r="27" spans="1:25" s="192" customFormat="1" ht="12.75" x14ac:dyDescent="0.2">
      <c r="A27" s="192" t="s">
        <v>340</v>
      </c>
      <c r="B27" s="250"/>
      <c r="C27" s="250"/>
      <c r="D27" s="250"/>
      <c r="E27" s="250"/>
      <c r="F27" s="260"/>
      <c r="G27" s="250"/>
      <c r="H27" s="250"/>
      <c r="I27" s="260"/>
      <c r="J27" s="250"/>
      <c r="K27" s="250"/>
      <c r="L27" s="250"/>
      <c r="M27" s="250"/>
      <c r="N27" s="260"/>
      <c r="O27" s="250"/>
      <c r="P27" s="250"/>
      <c r="Q27" s="250"/>
      <c r="R27" s="250"/>
      <c r="S27" s="250"/>
      <c r="T27" s="250"/>
      <c r="U27" s="250"/>
      <c r="V27" s="250"/>
      <c r="W27" s="189"/>
      <c r="X27" s="189"/>
      <c r="Y27" s="190"/>
    </row>
    <row r="28" spans="1:25" s="192" customFormat="1" ht="12.75" x14ac:dyDescent="0.2">
      <c r="B28" s="250"/>
      <c r="C28" s="250"/>
      <c r="D28" s="250"/>
      <c r="E28" s="250"/>
      <c r="F28" s="260"/>
      <c r="G28" s="250"/>
      <c r="H28" s="250"/>
      <c r="I28" s="260"/>
      <c r="J28" s="250"/>
      <c r="K28" s="250"/>
      <c r="L28" s="250"/>
      <c r="M28" s="250"/>
      <c r="N28" s="260"/>
      <c r="O28" s="250"/>
      <c r="P28" s="250"/>
      <c r="Q28" s="250"/>
      <c r="R28" s="250"/>
      <c r="S28" s="250"/>
      <c r="T28" s="250"/>
      <c r="U28" s="250"/>
      <c r="V28" s="250"/>
      <c r="W28" s="189"/>
      <c r="X28" s="189"/>
      <c r="Y28" s="190"/>
    </row>
    <row r="29" spans="1:25" s="192" customFormat="1" ht="12.75" x14ac:dyDescent="0.2">
      <c r="B29" s="250"/>
      <c r="C29" s="250"/>
      <c r="D29" s="250"/>
      <c r="E29" s="250"/>
      <c r="F29" s="260"/>
      <c r="G29" s="250"/>
      <c r="H29" s="250"/>
      <c r="I29" s="260"/>
      <c r="J29" s="250"/>
      <c r="K29" s="250"/>
      <c r="L29" s="250"/>
      <c r="M29" s="250"/>
      <c r="N29" s="260"/>
      <c r="O29" s="250"/>
      <c r="P29" s="250"/>
      <c r="Q29" s="250"/>
      <c r="R29" s="250"/>
      <c r="S29" s="250"/>
      <c r="T29" s="250"/>
      <c r="U29" s="250"/>
      <c r="V29" s="250"/>
      <c r="W29" s="189"/>
      <c r="X29" s="189"/>
      <c r="Y29" s="190"/>
    </row>
    <row r="30" spans="1:25" ht="18.75" x14ac:dyDescent="0.3">
      <c r="A30" s="262" t="s">
        <v>339</v>
      </c>
      <c r="B30" s="262"/>
      <c r="C30" s="262"/>
      <c r="W30" s="189"/>
      <c r="X30" s="189"/>
    </row>
    <row r="31" spans="1:25" x14ac:dyDescent="0.25">
      <c r="A31" s="244" t="s">
        <v>259</v>
      </c>
      <c r="B31" s="261">
        <f>'1сел'!B22+'1сел'!B23+'1сел'!B24+'1сел'!B25+'1сел'!B26+'1сел'!B29</f>
        <v>12000</v>
      </c>
      <c r="C31" s="261">
        <f>'1сел'!C22+'1сел'!C23+'1сел'!C24+'1сел'!C25+'1сел'!C26+'1сел'!C29</f>
        <v>3072</v>
      </c>
      <c r="D31" s="261">
        <f>'1сел'!D22+'1сел'!D23+'1сел'!D24+'1сел'!D25+'1сел'!D26+'1сел'!D29</f>
        <v>4397</v>
      </c>
      <c r="E31" s="261">
        <f>'1сел'!E22+'1сел'!E23+'1сел'!E24+'1сел'!E25+'1сел'!E26+'1сел'!E29</f>
        <v>4397</v>
      </c>
      <c r="F31" s="261">
        <f>'1сел'!F22+'1сел'!F23+'1сел'!F24+'1сел'!F25+'1сел'!F26+'1сел'!F29</f>
        <v>56</v>
      </c>
      <c r="G31" s="261">
        <f>'1сел'!G22+'1сел'!G23+'1сел'!G24+'1сел'!G25+'1сел'!G26+'1сел'!G29</f>
        <v>6.3</v>
      </c>
      <c r="H31" s="261">
        <f>'1сел'!H22+'1сел'!H23+'1сел'!H24+'1сел'!H25+'1сел'!H26+'1сел'!H29</f>
        <v>0</v>
      </c>
      <c r="I31" s="261">
        <f>'1сел'!I22+'1сел'!I23+'1сел'!I24+'1сел'!I25+'1сел'!I26+'1сел'!I29</f>
        <v>0</v>
      </c>
      <c r="J31" s="261">
        <f>'1сел'!J22+'1сел'!J23+'1сел'!J24+'1сел'!J25+'1сел'!J26+'1сел'!J29</f>
        <v>2040</v>
      </c>
      <c r="K31" s="261">
        <f>'1сел'!K22+'1сел'!K23+'1сел'!K24+'1сел'!K25+'1сел'!K26+'1сел'!K29</f>
        <v>0</v>
      </c>
      <c r="L31" s="261">
        <f>'1сел'!L22+'1сел'!L23+'1сел'!L24+'1сел'!L25+'1сел'!L26+'1сел'!L29</f>
        <v>0</v>
      </c>
      <c r="M31" s="261">
        <f>'1сел'!M22+'1сел'!M23+'1сел'!M24+'1сел'!M25+'1сел'!M26+'1сел'!M29</f>
        <v>2040</v>
      </c>
      <c r="N31" s="261">
        <f>'1сел'!N22+'1сел'!N23+'1сел'!N24+'1сел'!N25+'1сел'!N26+'1сел'!N29</f>
        <v>0</v>
      </c>
      <c r="O31" s="261">
        <f>'1сел'!O22+'1сел'!O23+'1сел'!O24+'1сел'!O25+'1сел'!O26+'1сел'!O29</f>
        <v>0</v>
      </c>
      <c r="P31" s="261">
        <f>'1сел'!P22+'1сел'!P23+'1сел'!P24+'1сел'!P25+'1сел'!P26+'1сел'!P29</f>
        <v>2040</v>
      </c>
      <c r="Q31" s="261">
        <f>'1сел'!Q22+'1сел'!Q23+'1сел'!Q24+'1сел'!Q25+'1сел'!Q26+'1сел'!Q29</f>
        <v>0</v>
      </c>
      <c r="R31" s="261">
        <f>'1сел'!R22+'1сел'!R23+'1сел'!R24+'1сел'!R25+'1сел'!R26+'1сел'!R29</f>
        <v>0</v>
      </c>
      <c r="S31" s="261">
        <f>'1сел'!S22+'1сел'!S23+'1сел'!S24+'1сел'!S25+'1сел'!S26+'1сел'!S29</f>
        <v>2040</v>
      </c>
      <c r="T31" s="261">
        <f>'1сел'!T22+'1сел'!T23+'1сел'!T24+'1сел'!T25+'1сел'!T26+'1сел'!T29</f>
        <v>0</v>
      </c>
      <c r="U31" s="261">
        <f>'1сел'!U22+'1сел'!U23+'1сел'!U24+'1сел'!U25+'1сел'!U26+'1сел'!U29</f>
        <v>0</v>
      </c>
      <c r="V31" s="261">
        <f>'1сел'!V22+'1сел'!V23+'1сел'!V24+'1сел'!V25+'1сел'!V26+'1сел'!V29</f>
        <v>0</v>
      </c>
      <c r="W31" s="189">
        <f t="shared" ref="W31:W45" si="14">SUM(B31:V31)</f>
        <v>32088.3</v>
      </c>
      <c r="X31" s="189">
        <f>NPV('1сел'!$X$1,B31:V31)</f>
        <v>29238.853161289477</v>
      </c>
    </row>
    <row r="32" spans="1:25" x14ac:dyDescent="0.25">
      <c r="A32" s="244" t="s">
        <v>261</v>
      </c>
      <c r="B32" s="58">
        <f>('3товар'!B15+'3товар'!B16)*1000</f>
        <v>935000</v>
      </c>
      <c r="C32" s="58">
        <f>('3товар'!C15+'3товар'!C16)*1000</f>
        <v>935000</v>
      </c>
      <c r="D32" s="58">
        <f>('3товар'!D15+'3товар'!D16)*1000</f>
        <v>935000</v>
      </c>
      <c r="E32" s="58">
        <f>('3товар'!E15+'3товар'!E16)*1000</f>
        <v>935000</v>
      </c>
      <c r="F32" s="58">
        <f>('3товар'!F15+'3товар'!F16)*1000</f>
        <v>935000</v>
      </c>
      <c r="G32" s="58">
        <f>('3товар'!G15+'3товар'!G16)*1000</f>
        <v>935000</v>
      </c>
      <c r="H32" s="58">
        <f>('3товар'!H15+'3товар'!H16)*1000</f>
        <v>935000</v>
      </c>
      <c r="I32" s="58">
        <f>('3товар'!I15+'3товар'!I16)*1000</f>
        <v>935000</v>
      </c>
      <c r="J32" s="58">
        <f>('3товар'!J15+'3товар'!J16)*1000</f>
        <v>935000</v>
      </c>
      <c r="K32" s="58">
        <f>('3товар'!K15+'3товар'!K16)*1000</f>
        <v>884000</v>
      </c>
      <c r="L32" s="58">
        <f>('3товар'!L15+'3товар'!L16)*1000</f>
        <v>884000</v>
      </c>
      <c r="M32" s="58">
        <f>('3товар'!M15+'3товар'!M16)*1000</f>
        <v>884000</v>
      </c>
      <c r="N32" s="58">
        <f>('3товар'!N15+'3товар'!N16)*1000</f>
        <v>884000</v>
      </c>
      <c r="O32" s="58">
        <f>('3товар'!O15+'3товар'!O16)*1000</f>
        <v>884000</v>
      </c>
      <c r="P32" s="58">
        <f>('3товар'!P15+'3товар'!P16)*1000</f>
        <v>884000</v>
      </c>
      <c r="Q32" s="58">
        <f>('3товар'!Q15+'3товар'!Q16)*1000</f>
        <v>884000</v>
      </c>
      <c r="R32" s="58">
        <f>('3товар'!R15+'3товар'!R16)*1000</f>
        <v>884000</v>
      </c>
      <c r="S32" s="58">
        <f>('3товар'!S15+'3товар'!S16)*1000</f>
        <v>884000</v>
      </c>
      <c r="T32" s="58">
        <f>('3товар'!T15+'3товар'!T16)*1000</f>
        <v>884000</v>
      </c>
      <c r="U32" s="58">
        <f>('3товар'!U15+'3товар'!U16)*1000</f>
        <v>884000</v>
      </c>
      <c r="V32" s="58">
        <f>('3товар'!V15+'3товар'!V16)*1000</f>
        <v>884000</v>
      </c>
      <c r="W32" s="189">
        <f t="shared" si="14"/>
        <v>19023000</v>
      </c>
      <c r="X32" s="189">
        <f>NPV('1сел'!$X$1,B32:V32)</f>
        <v>15454182.970675552</v>
      </c>
    </row>
    <row r="33" spans="1:25" s="147" customFormat="1" x14ac:dyDescent="0.25">
      <c r="A33" s="268" t="s">
        <v>260</v>
      </c>
      <c r="B33" s="269">
        <f>'2сем'!B29</f>
        <v>0</v>
      </c>
      <c r="C33" s="269">
        <f>'2сем'!C29</f>
        <v>0</v>
      </c>
      <c r="D33" s="269">
        <f>'2сем'!D29</f>
        <v>0</v>
      </c>
      <c r="E33" s="269">
        <f>'2сем'!E29</f>
        <v>0</v>
      </c>
      <c r="F33" s="269">
        <f>'2сем'!F29</f>
        <v>0</v>
      </c>
      <c r="G33" s="269">
        <f>'2сем'!G29</f>
        <v>0</v>
      </c>
      <c r="H33" s="269">
        <f>'2сем'!H29</f>
        <v>0</v>
      </c>
      <c r="I33" s="269">
        <f>'2сем'!I29</f>
        <v>800.00000000000011</v>
      </c>
      <c r="J33" s="269">
        <f>'2сем'!J29</f>
        <v>800.00000000000011</v>
      </c>
      <c r="K33" s="269">
        <f>'2сем'!K29</f>
        <v>0</v>
      </c>
      <c r="L33" s="269">
        <f>'2сем'!L29</f>
        <v>800.00000000000011</v>
      </c>
      <c r="M33" s="269">
        <f>'2сем'!M29</f>
        <v>800.00000000000011</v>
      </c>
      <c r="N33" s="269">
        <f>'2сем'!N29</f>
        <v>0</v>
      </c>
      <c r="O33" s="269">
        <f>'2сем'!O29</f>
        <v>800.00000000000011</v>
      </c>
      <c r="P33" s="269">
        <f>'2сем'!P29</f>
        <v>800.00000000000011</v>
      </c>
      <c r="Q33" s="269">
        <f>'2сем'!Q29</f>
        <v>0</v>
      </c>
      <c r="R33" s="269">
        <f>'2сем'!R29</f>
        <v>800.00000000000011</v>
      </c>
      <c r="S33" s="269">
        <f>'2сем'!S29</f>
        <v>800.00000000000011</v>
      </c>
      <c r="T33" s="269">
        <f>'2сем'!T29</f>
        <v>0</v>
      </c>
      <c r="U33" s="269">
        <f>'2сем'!U29</f>
        <v>0</v>
      </c>
      <c r="V33" s="269">
        <f>'2сем'!V29</f>
        <v>0</v>
      </c>
      <c r="W33" s="270">
        <f t="shared" si="14"/>
        <v>6400.0000000000009</v>
      </c>
      <c r="X33" s="270">
        <f>NPV('1сел'!$X$1,B33:V33)</f>
        <v>4958.5708349960669</v>
      </c>
      <c r="Y33" s="145"/>
    </row>
    <row r="34" spans="1:25" x14ac:dyDescent="0.25">
      <c r="A34" s="40" t="s">
        <v>263</v>
      </c>
      <c r="B34" s="40">
        <f>SUM(B31:B33)</f>
        <v>947000</v>
      </c>
      <c r="C34" s="40">
        <f t="shared" ref="C34:S34" si="15">SUM(C31:C33)</f>
        <v>938072</v>
      </c>
      <c r="D34" s="40">
        <f t="shared" si="15"/>
        <v>939397</v>
      </c>
      <c r="E34" s="40">
        <f t="shared" si="15"/>
        <v>939397</v>
      </c>
      <c r="F34" s="40">
        <f t="shared" si="15"/>
        <v>935056</v>
      </c>
      <c r="G34" s="40">
        <f t="shared" si="15"/>
        <v>935006.3</v>
      </c>
      <c r="H34" s="40">
        <f t="shared" si="15"/>
        <v>935000</v>
      </c>
      <c r="I34" s="40">
        <f t="shared" si="15"/>
        <v>935800</v>
      </c>
      <c r="J34" s="40">
        <f t="shared" si="15"/>
        <v>937840</v>
      </c>
      <c r="K34" s="40">
        <f t="shared" si="15"/>
        <v>884000</v>
      </c>
      <c r="L34" s="40">
        <f t="shared" si="15"/>
        <v>884800</v>
      </c>
      <c r="M34" s="40">
        <f t="shared" si="15"/>
        <v>886840</v>
      </c>
      <c r="N34" s="40">
        <f t="shared" si="15"/>
        <v>884000</v>
      </c>
      <c r="O34" s="40">
        <f t="shared" si="15"/>
        <v>884800</v>
      </c>
      <c r="P34" s="40">
        <f t="shared" si="15"/>
        <v>886840</v>
      </c>
      <c r="Q34" s="40">
        <f t="shared" si="15"/>
        <v>884000</v>
      </c>
      <c r="R34" s="40">
        <f t="shared" si="15"/>
        <v>884800</v>
      </c>
      <c r="S34" s="40">
        <f t="shared" si="15"/>
        <v>886840</v>
      </c>
      <c r="T34" s="40">
        <f>SUM(T31:T33)</f>
        <v>884000</v>
      </c>
      <c r="U34" s="40">
        <f>SUM(U31:U33)</f>
        <v>884000</v>
      </c>
      <c r="V34" s="40">
        <f>SUM(V31:V33)</f>
        <v>884000</v>
      </c>
      <c r="W34" s="189">
        <f t="shared" si="14"/>
        <v>19061488.300000001</v>
      </c>
      <c r="X34" s="189">
        <f>NPV('1сел'!$X$1,B34:V34)</f>
        <v>15488380.394671835</v>
      </c>
    </row>
    <row r="35" spans="1:25" x14ac:dyDescent="0.25">
      <c r="A35" s="201" t="s">
        <v>341</v>
      </c>
      <c r="W35" s="189">
        <f t="shared" si="14"/>
        <v>0</v>
      </c>
      <c r="X35" s="189">
        <f>NPV('1сел'!$X$1,B35:V35)</f>
        <v>0</v>
      </c>
    </row>
    <row r="36" spans="1:25" x14ac:dyDescent="0.25">
      <c r="A36" s="191" t="s">
        <v>265</v>
      </c>
      <c r="B36" s="215">
        <f>'1сел'!B30</f>
        <v>0</v>
      </c>
      <c r="C36" s="215">
        <f>'1сел'!C30</f>
        <v>0</v>
      </c>
      <c r="D36" s="215">
        <f>'1сел'!D30</f>
        <v>0</v>
      </c>
      <c r="E36" s="215">
        <f>'1сел'!E30</f>
        <v>0</v>
      </c>
      <c r="F36" s="215">
        <f>'1сел'!F30</f>
        <v>0</v>
      </c>
      <c r="G36" s="215">
        <f>'1сел'!G30</f>
        <v>0</v>
      </c>
      <c r="H36" s="215">
        <f>'1сел'!H30</f>
        <v>0</v>
      </c>
      <c r="I36" s="215">
        <f>'1сел'!I30</f>
        <v>0</v>
      </c>
      <c r="J36" s="215">
        <f>'1сел'!J30</f>
        <v>0</v>
      </c>
      <c r="K36" s="215">
        <f>'1сел'!K30</f>
        <v>8500</v>
      </c>
      <c r="L36" s="215">
        <f>'1сел'!L30</f>
        <v>8500</v>
      </c>
      <c r="M36" s="215">
        <f>'1сел'!M30</f>
        <v>8500</v>
      </c>
      <c r="N36" s="215">
        <f>'1сел'!N30</f>
        <v>8500</v>
      </c>
      <c r="O36" s="215">
        <f>'1сел'!O30</f>
        <v>8500</v>
      </c>
      <c r="P36" s="215">
        <f>'1сел'!P30</f>
        <v>8500</v>
      </c>
      <c r="Q36" s="215">
        <f>'1сел'!Q30</f>
        <v>8500</v>
      </c>
      <c r="R36" s="215">
        <f>'1сел'!R30</f>
        <v>8500</v>
      </c>
      <c r="S36" s="215">
        <f>'1сел'!S30</f>
        <v>8500</v>
      </c>
      <c r="T36" s="215">
        <f>'1сел'!T30</f>
        <v>8500</v>
      </c>
      <c r="U36" s="215">
        <f>'1сел'!U30</f>
        <v>8500</v>
      </c>
      <c r="V36" s="215">
        <f>'1сел'!V30</f>
        <v>8500</v>
      </c>
      <c r="W36" s="189">
        <f t="shared" si="14"/>
        <v>102000</v>
      </c>
      <c r="X36" s="189">
        <f>NPV('1сел'!$X$1,B36:V36)</f>
        <v>75216.265867522423</v>
      </c>
    </row>
    <row r="37" spans="1:25" x14ac:dyDescent="0.25">
      <c r="A37" s="191" t="s">
        <v>267</v>
      </c>
      <c r="B37" s="245">
        <f>'3товар'!B17*1000</f>
        <v>2805000</v>
      </c>
      <c r="C37" s="245">
        <f>'3товар'!C17*1000</f>
        <v>2805000</v>
      </c>
      <c r="D37" s="245">
        <f>'3товар'!D17*1000</f>
        <v>2805000</v>
      </c>
      <c r="E37" s="245">
        <f>'3товар'!E17*1000</f>
        <v>2805000</v>
      </c>
      <c r="F37" s="245">
        <f>'3товар'!F17*1000</f>
        <v>2805000</v>
      </c>
      <c r="G37" s="245">
        <f>'3товар'!G17*1000</f>
        <v>2805000</v>
      </c>
      <c r="H37" s="245">
        <f>'3товар'!H17*1000</f>
        <v>2805000</v>
      </c>
      <c r="I37" s="245">
        <f>'3товар'!I17*1000</f>
        <v>2805000</v>
      </c>
      <c r="J37" s="245">
        <f>'3товар'!J17*1000</f>
        <v>2805000</v>
      </c>
      <c r="K37" s="245">
        <f>'3товар'!K17*1000</f>
        <v>2805000</v>
      </c>
      <c r="L37" s="245">
        <f>'3товар'!L17*1000</f>
        <v>2805000</v>
      </c>
      <c r="M37" s="245">
        <f>'3товар'!M17*1000</f>
        <v>2805000</v>
      </c>
      <c r="N37" s="245">
        <f>'3товар'!N17*1000</f>
        <v>2805000</v>
      </c>
      <c r="O37" s="245">
        <f>'3товар'!O17*1000</f>
        <v>2805000</v>
      </c>
      <c r="P37" s="245">
        <f>'3товар'!P17*1000</f>
        <v>2805000</v>
      </c>
      <c r="Q37" s="245">
        <f>'3товар'!Q17*1000</f>
        <v>2805000</v>
      </c>
      <c r="R37" s="245">
        <f>'3товар'!R17*1000</f>
        <v>2805000</v>
      </c>
      <c r="S37" s="245">
        <f>'3товар'!S17*1000</f>
        <v>2805000</v>
      </c>
      <c r="T37" s="245">
        <f>'3товар'!T17*1000</f>
        <v>2805000</v>
      </c>
      <c r="U37" s="245">
        <f>'3товар'!U17*1000</f>
        <v>2805000</v>
      </c>
      <c r="V37" s="245">
        <f>'3товар'!V17*1000</f>
        <v>2805000</v>
      </c>
      <c r="W37" s="189">
        <f t="shared" si="14"/>
        <v>58905000</v>
      </c>
      <c r="X37" s="189">
        <f>NPV('1сел'!$X$1,B37:V37)</f>
        <v>47716441.697642058</v>
      </c>
    </row>
    <row r="38" spans="1:25" s="145" customFormat="1" x14ac:dyDescent="0.25">
      <c r="A38" s="267" t="s">
        <v>266</v>
      </c>
      <c r="B38" s="271">
        <f>'2сем'!B30</f>
        <v>0</v>
      </c>
      <c r="C38" s="271">
        <f>'2сем'!C30</f>
        <v>0</v>
      </c>
      <c r="D38" s="271">
        <f>'2сем'!D30</f>
        <v>0</v>
      </c>
      <c r="E38" s="271">
        <f>'2сем'!E30</f>
        <v>0</v>
      </c>
      <c r="F38" s="271">
        <f>'2сем'!F30</f>
        <v>0</v>
      </c>
      <c r="G38" s="271">
        <f>'2сем'!G30</f>
        <v>0</v>
      </c>
      <c r="H38" s="271">
        <f>'2сем'!H30</f>
        <v>0</v>
      </c>
      <c r="I38" s="271">
        <f>'2сем'!I30</f>
        <v>0</v>
      </c>
      <c r="J38" s="271">
        <f>'2сем'!J30</f>
        <v>2040</v>
      </c>
      <c r="K38" s="271">
        <f>'2сем'!K30</f>
        <v>0</v>
      </c>
      <c r="L38" s="271">
        <f>'2сем'!L30</f>
        <v>0</v>
      </c>
      <c r="M38" s="271">
        <f>'2сем'!M30</f>
        <v>2040</v>
      </c>
      <c r="N38" s="271">
        <f>'2сем'!N30</f>
        <v>0</v>
      </c>
      <c r="O38" s="271">
        <f>'2сем'!O30</f>
        <v>0</v>
      </c>
      <c r="P38" s="271">
        <f>'2сем'!P30</f>
        <v>2040</v>
      </c>
      <c r="Q38" s="271">
        <f>'2сем'!Q30</f>
        <v>0</v>
      </c>
      <c r="R38" s="271">
        <f>'2сем'!R30</f>
        <v>0</v>
      </c>
      <c r="S38" s="271">
        <f>'2сем'!S30</f>
        <v>2040</v>
      </c>
      <c r="T38" s="271">
        <f>'2сем'!T30</f>
        <v>0</v>
      </c>
      <c r="U38" s="271">
        <f>'2сем'!U30</f>
        <v>0</v>
      </c>
      <c r="V38" s="271">
        <f>'2сем'!V30</f>
        <v>0</v>
      </c>
      <c r="W38" s="270">
        <f t="shared" si="14"/>
        <v>8160</v>
      </c>
      <c r="X38" s="270">
        <f>NPV('1сел'!$X$1,B38:V38)</f>
        <v>6259.5819946732508</v>
      </c>
    </row>
    <row r="39" spans="1:25" x14ac:dyDescent="0.25">
      <c r="A39" s="194" t="s">
        <v>263</v>
      </c>
      <c r="B39" s="194">
        <f>SUM(B36:B38)</f>
        <v>2805000</v>
      </c>
      <c r="C39" s="194">
        <f t="shared" ref="C39:S39" si="16">SUM(C36:C38)</f>
        <v>2805000</v>
      </c>
      <c r="D39" s="194">
        <f t="shared" si="16"/>
        <v>2805000</v>
      </c>
      <c r="E39" s="194">
        <f t="shared" si="16"/>
        <v>2805000</v>
      </c>
      <c r="F39" s="194">
        <f t="shared" si="16"/>
        <v>2805000</v>
      </c>
      <c r="G39" s="194">
        <f t="shared" si="16"/>
        <v>2805000</v>
      </c>
      <c r="H39" s="194">
        <f t="shared" si="16"/>
        <v>2805000</v>
      </c>
      <c r="I39" s="194">
        <f t="shared" si="16"/>
        <v>2805000</v>
      </c>
      <c r="J39" s="194">
        <f t="shared" si="16"/>
        <v>2807040</v>
      </c>
      <c r="K39" s="194">
        <f t="shared" si="16"/>
        <v>2813500</v>
      </c>
      <c r="L39" s="194">
        <f t="shared" si="16"/>
        <v>2813500</v>
      </c>
      <c r="M39" s="194">
        <f t="shared" si="16"/>
        <v>2815540</v>
      </c>
      <c r="N39" s="194">
        <f t="shared" si="16"/>
        <v>2813500</v>
      </c>
      <c r="O39" s="194">
        <f t="shared" si="16"/>
        <v>2813500</v>
      </c>
      <c r="P39" s="194">
        <f t="shared" si="16"/>
        <v>2815540</v>
      </c>
      <c r="Q39" s="194">
        <f t="shared" si="16"/>
        <v>2813500</v>
      </c>
      <c r="R39" s="194">
        <f t="shared" si="16"/>
        <v>2813500</v>
      </c>
      <c r="S39" s="194">
        <f t="shared" si="16"/>
        <v>2815540</v>
      </c>
      <c r="T39" s="194">
        <f>SUM(T36:T38)</f>
        <v>2813500</v>
      </c>
      <c r="U39" s="194">
        <f>SUM(U36:U38)</f>
        <v>2813500</v>
      </c>
      <c r="V39" s="194">
        <f>SUM(V36:V38)</f>
        <v>2813500</v>
      </c>
      <c r="W39" s="189">
        <f t="shared" si="14"/>
        <v>59015160</v>
      </c>
      <c r="X39" s="189">
        <f>NPV('1сел'!$X$1,B39:V39)</f>
        <v>47797917.545504265</v>
      </c>
    </row>
    <row r="40" spans="1:25" x14ac:dyDescent="0.25">
      <c r="A40" s="48" t="s">
        <v>268</v>
      </c>
      <c r="B40" s="37">
        <f>B36-B31</f>
        <v>-12000</v>
      </c>
      <c r="C40" s="37">
        <f t="shared" ref="C40:S42" si="17">C36-C31</f>
        <v>-3072</v>
      </c>
      <c r="D40" s="37">
        <f t="shared" si="17"/>
        <v>-4397</v>
      </c>
      <c r="E40" s="37">
        <f t="shared" si="17"/>
        <v>-4397</v>
      </c>
      <c r="F40" s="37">
        <f t="shared" si="17"/>
        <v>-56</v>
      </c>
      <c r="G40" s="37">
        <f t="shared" si="17"/>
        <v>-6.3</v>
      </c>
      <c r="H40" s="37">
        <f t="shared" si="17"/>
        <v>0</v>
      </c>
      <c r="I40" s="37">
        <f t="shared" si="17"/>
        <v>0</v>
      </c>
      <c r="J40" s="37">
        <f t="shared" si="17"/>
        <v>-2040</v>
      </c>
      <c r="K40" s="37">
        <f t="shared" si="17"/>
        <v>8500</v>
      </c>
      <c r="L40" s="37">
        <f t="shared" si="17"/>
        <v>8500</v>
      </c>
      <c r="M40" s="37">
        <f t="shared" si="17"/>
        <v>6460</v>
      </c>
      <c r="N40" s="37">
        <f t="shared" si="17"/>
        <v>8500</v>
      </c>
      <c r="O40" s="37">
        <f t="shared" si="17"/>
        <v>8500</v>
      </c>
      <c r="P40" s="37">
        <f t="shared" si="17"/>
        <v>6460</v>
      </c>
      <c r="Q40" s="37">
        <f t="shared" si="17"/>
        <v>8500</v>
      </c>
      <c r="R40" s="37">
        <f t="shared" si="17"/>
        <v>8500</v>
      </c>
      <c r="S40" s="37">
        <f t="shared" si="17"/>
        <v>6460</v>
      </c>
      <c r="T40" s="37">
        <f t="shared" ref="T40:V42" si="18">T36-T31</f>
        <v>8500</v>
      </c>
      <c r="U40" s="37">
        <f t="shared" si="18"/>
        <v>8500</v>
      </c>
      <c r="V40" s="37">
        <f t="shared" si="18"/>
        <v>8500</v>
      </c>
      <c r="W40" s="189">
        <f t="shared" si="14"/>
        <v>69911.7</v>
      </c>
      <c r="X40" s="189">
        <f>NPV('1сел'!$X$1,B40:V40)</f>
        <v>45977.41270623295</v>
      </c>
    </row>
    <row r="41" spans="1:25" x14ac:dyDescent="0.25">
      <c r="A41" s="245" t="s">
        <v>269</v>
      </c>
      <c r="B41" s="245">
        <f>B37-B32</f>
        <v>1870000</v>
      </c>
      <c r="C41" s="245">
        <f t="shared" si="17"/>
        <v>1870000</v>
      </c>
      <c r="D41" s="245">
        <f t="shared" si="17"/>
        <v>1870000</v>
      </c>
      <c r="E41" s="245">
        <f t="shared" si="17"/>
        <v>1870000</v>
      </c>
      <c r="F41" s="245">
        <f t="shared" si="17"/>
        <v>1870000</v>
      </c>
      <c r="G41" s="245">
        <f t="shared" si="17"/>
        <v>1870000</v>
      </c>
      <c r="H41" s="245">
        <f t="shared" si="17"/>
        <v>1870000</v>
      </c>
      <c r="I41" s="245">
        <f t="shared" si="17"/>
        <v>1870000</v>
      </c>
      <c r="J41" s="245">
        <f t="shared" si="17"/>
        <v>1870000</v>
      </c>
      <c r="K41" s="245">
        <f t="shared" si="17"/>
        <v>1921000</v>
      </c>
      <c r="L41" s="245">
        <f t="shared" si="17"/>
        <v>1921000</v>
      </c>
      <c r="M41" s="245">
        <f t="shared" si="17"/>
        <v>1921000</v>
      </c>
      <c r="N41" s="245">
        <f t="shared" si="17"/>
        <v>1921000</v>
      </c>
      <c r="O41" s="245">
        <f t="shared" si="17"/>
        <v>1921000</v>
      </c>
      <c r="P41" s="245">
        <f t="shared" si="17"/>
        <v>1921000</v>
      </c>
      <c r="Q41" s="245">
        <f t="shared" si="17"/>
        <v>1921000</v>
      </c>
      <c r="R41" s="245">
        <f t="shared" si="17"/>
        <v>1921000</v>
      </c>
      <c r="S41" s="245">
        <f t="shared" si="17"/>
        <v>1921000</v>
      </c>
      <c r="T41" s="245">
        <f t="shared" si="18"/>
        <v>1921000</v>
      </c>
      <c r="U41" s="245">
        <f t="shared" si="18"/>
        <v>1921000</v>
      </c>
      <c r="V41" s="245">
        <f t="shared" si="18"/>
        <v>1921000</v>
      </c>
      <c r="W41" s="189">
        <f t="shared" si="14"/>
        <v>39882000</v>
      </c>
      <c r="X41" s="189">
        <f>NPV('1сел'!$X$1,B41:V41)</f>
        <v>32262258.726966508</v>
      </c>
    </row>
    <row r="42" spans="1:25" s="147" customFormat="1" x14ac:dyDescent="0.25">
      <c r="A42" s="272" t="s">
        <v>270</v>
      </c>
      <c r="B42" s="273">
        <f>B38-B33</f>
        <v>0</v>
      </c>
      <c r="C42" s="273">
        <f t="shared" si="17"/>
        <v>0</v>
      </c>
      <c r="D42" s="273">
        <f t="shared" si="17"/>
        <v>0</v>
      </c>
      <c r="E42" s="273">
        <f t="shared" si="17"/>
        <v>0</v>
      </c>
      <c r="F42" s="273">
        <f t="shared" si="17"/>
        <v>0</v>
      </c>
      <c r="G42" s="273">
        <f t="shared" si="17"/>
        <v>0</v>
      </c>
      <c r="H42" s="273">
        <f t="shared" si="17"/>
        <v>0</v>
      </c>
      <c r="I42" s="273">
        <f t="shared" si="17"/>
        <v>-800.00000000000011</v>
      </c>
      <c r="J42" s="273">
        <f t="shared" si="17"/>
        <v>1240</v>
      </c>
      <c r="K42" s="273">
        <f t="shared" si="17"/>
        <v>0</v>
      </c>
      <c r="L42" s="273">
        <f t="shared" si="17"/>
        <v>-800.00000000000011</v>
      </c>
      <c r="M42" s="273">
        <f t="shared" si="17"/>
        <v>1240</v>
      </c>
      <c r="N42" s="273">
        <f t="shared" si="17"/>
        <v>0</v>
      </c>
      <c r="O42" s="273">
        <f t="shared" si="17"/>
        <v>-800.00000000000011</v>
      </c>
      <c r="P42" s="273">
        <f t="shared" si="17"/>
        <v>1240</v>
      </c>
      <c r="Q42" s="273">
        <f t="shared" si="17"/>
        <v>0</v>
      </c>
      <c r="R42" s="273">
        <f t="shared" si="17"/>
        <v>-800.00000000000011</v>
      </c>
      <c r="S42" s="273">
        <f t="shared" si="17"/>
        <v>1240</v>
      </c>
      <c r="T42" s="273">
        <f t="shared" si="18"/>
        <v>0</v>
      </c>
      <c r="U42" s="273">
        <f t="shared" si="18"/>
        <v>0</v>
      </c>
      <c r="V42" s="273">
        <f t="shared" si="18"/>
        <v>0</v>
      </c>
      <c r="W42" s="270">
        <f t="shared" si="14"/>
        <v>1759.9999999999995</v>
      </c>
      <c r="X42" s="270">
        <f>NPV('1сел'!$X$1,B42:V42)</f>
        <v>1301.0111596771853</v>
      </c>
      <c r="Y42" s="145"/>
    </row>
    <row r="43" spans="1:25" x14ac:dyDescent="0.25">
      <c r="A43" s="48" t="s">
        <v>271</v>
      </c>
      <c r="B43" s="37">
        <f>SUM(B40:B42)</f>
        <v>1858000</v>
      </c>
      <c r="C43" s="37">
        <f t="shared" ref="C43:S43" si="19">SUM(C40:C42)</f>
        <v>1866928</v>
      </c>
      <c r="D43" s="37">
        <f t="shared" si="19"/>
        <v>1865603</v>
      </c>
      <c r="E43" s="37">
        <f t="shared" si="19"/>
        <v>1865603</v>
      </c>
      <c r="F43" s="37">
        <f t="shared" si="19"/>
        <v>1869944</v>
      </c>
      <c r="G43" s="37">
        <f t="shared" si="19"/>
        <v>1869993.7</v>
      </c>
      <c r="H43" s="37">
        <f t="shared" si="19"/>
        <v>1870000</v>
      </c>
      <c r="I43" s="37">
        <f t="shared" si="19"/>
        <v>1869200</v>
      </c>
      <c r="J43" s="37">
        <f>SUM(J40:J42)</f>
        <v>1869200</v>
      </c>
      <c r="K43" s="37">
        <f t="shared" si="19"/>
        <v>1929500</v>
      </c>
      <c r="L43" s="37">
        <f t="shared" si="19"/>
        <v>1928700</v>
      </c>
      <c r="M43" s="37">
        <f t="shared" si="19"/>
        <v>1928700</v>
      </c>
      <c r="N43" s="37">
        <f t="shared" si="19"/>
        <v>1929500</v>
      </c>
      <c r="O43" s="37">
        <f t="shared" si="19"/>
        <v>1928700</v>
      </c>
      <c r="P43" s="37">
        <f t="shared" si="19"/>
        <v>1928700</v>
      </c>
      <c r="Q43" s="37">
        <f t="shared" si="19"/>
        <v>1929500</v>
      </c>
      <c r="R43" s="37">
        <f t="shared" si="19"/>
        <v>1928700</v>
      </c>
      <c r="S43" s="37">
        <f t="shared" si="19"/>
        <v>1928700</v>
      </c>
      <c r="T43" s="37">
        <f>SUM(T40:T42)</f>
        <v>1929500</v>
      </c>
      <c r="U43" s="37">
        <f>SUM(U40:U42)</f>
        <v>1929500</v>
      </c>
      <c r="V43" s="37">
        <f>SUM(V40:V42)</f>
        <v>1929500</v>
      </c>
      <c r="W43" s="189">
        <f t="shared" si="14"/>
        <v>39953671.700000003</v>
      </c>
      <c r="X43" s="189">
        <f>NPV('1сел'!$X$1,B43:V43)</f>
        <v>32309537.150832415</v>
      </c>
    </row>
    <row r="44" spans="1:25" x14ac:dyDescent="0.25">
      <c r="A44" s="195" t="s">
        <v>318</v>
      </c>
      <c r="B44" s="196">
        <f t="shared" ref="B44:S44" si="20">B50-B43</f>
        <v>0</v>
      </c>
      <c r="C44" s="196">
        <f t="shared" si="20"/>
        <v>0</v>
      </c>
      <c r="D44" s="196">
        <f t="shared" si="20"/>
        <v>0</v>
      </c>
      <c r="E44" s="196">
        <f t="shared" si="20"/>
        <v>0</v>
      </c>
      <c r="F44" s="196">
        <f t="shared" si="20"/>
        <v>0</v>
      </c>
      <c r="G44" s="196">
        <f t="shared" si="20"/>
        <v>0</v>
      </c>
      <c r="H44" s="196">
        <f t="shared" si="20"/>
        <v>0</v>
      </c>
      <c r="I44" s="196">
        <f t="shared" si="20"/>
        <v>0</v>
      </c>
      <c r="J44" s="263">
        <f t="shared" si="20"/>
        <v>0</v>
      </c>
      <c r="K44" s="196">
        <f t="shared" si="20"/>
        <v>0</v>
      </c>
      <c r="L44" s="196">
        <f t="shared" si="20"/>
        <v>0</v>
      </c>
      <c r="M44" s="196">
        <f t="shared" si="20"/>
        <v>0</v>
      </c>
      <c r="N44" s="196">
        <f t="shared" si="20"/>
        <v>0</v>
      </c>
      <c r="O44" s="196">
        <f t="shared" si="20"/>
        <v>0</v>
      </c>
      <c r="P44" s="196">
        <f t="shared" si="20"/>
        <v>0</v>
      </c>
      <c r="Q44" s="196">
        <f t="shared" si="20"/>
        <v>0</v>
      </c>
      <c r="R44" s="196">
        <f t="shared" si="20"/>
        <v>0</v>
      </c>
      <c r="S44" s="196">
        <f t="shared" si="20"/>
        <v>0</v>
      </c>
      <c r="T44" s="196">
        <f>T50-T43</f>
        <v>0</v>
      </c>
      <c r="U44" s="196">
        <f>U50-U43</f>
        <v>0</v>
      </c>
      <c r="V44" s="196">
        <f>V50-V43</f>
        <v>0</v>
      </c>
      <c r="W44" s="189">
        <f t="shared" si="14"/>
        <v>0</v>
      </c>
      <c r="X44" s="189">
        <f>NPV('1сел'!$X$1,B44:V44)</f>
        <v>0</v>
      </c>
    </row>
    <row r="45" spans="1:25" x14ac:dyDescent="0.25">
      <c r="A45" s="48" t="s">
        <v>272</v>
      </c>
      <c r="B45" s="48">
        <f>B39-B34</f>
        <v>1858000</v>
      </c>
      <c r="C45" s="48">
        <f t="shared" ref="C45:S45" si="21">C39-C34</f>
        <v>1866928</v>
      </c>
      <c r="D45" s="48">
        <f t="shared" si="21"/>
        <v>1865603</v>
      </c>
      <c r="E45" s="48">
        <f t="shared" si="21"/>
        <v>1865603</v>
      </c>
      <c r="F45" s="48">
        <f t="shared" si="21"/>
        <v>1869944</v>
      </c>
      <c r="G45" s="48">
        <f t="shared" si="21"/>
        <v>1869993.7</v>
      </c>
      <c r="H45" s="48">
        <f t="shared" si="21"/>
        <v>1870000</v>
      </c>
      <c r="I45" s="48">
        <f t="shared" si="21"/>
        <v>1869200</v>
      </c>
      <c r="J45" s="48">
        <f t="shared" si="21"/>
        <v>1869200</v>
      </c>
      <c r="K45" s="48">
        <f t="shared" si="21"/>
        <v>1929500</v>
      </c>
      <c r="L45" s="48">
        <f t="shared" si="21"/>
        <v>1928700</v>
      </c>
      <c r="M45" s="48">
        <f t="shared" si="21"/>
        <v>1928700</v>
      </c>
      <c r="N45" s="48">
        <f t="shared" si="21"/>
        <v>1929500</v>
      </c>
      <c r="O45" s="48">
        <f t="shared" si="21"/>
        <v>1928700</v>
      </c>
      <c r="P45" s="48">
        <f t="shared" si="21"/>
        <v>1928700</v>
      </c>
      <c r="Q45" s="48">
        <f t="shared" si="21"/>
        <v>1929500</v>
      </c>
      <c r="R45" s="48">
        <f t="shared" si="21"/>
        <v>1928700</v>
      </c>
      <c r="S45" s="48">
        <f t="shared" si="21"/>
        <v>1928700</v>
      </c>
      <c r="T45" s="48">
        <f>T39-T34</f>
        <v>1929500</v>
      </c>
      <c r="U45" s="48">
        <f>U39-U34</f>
        <v>1929500</v>
      </c>
      <c r="V45" s="48">
        <f>V39-V34</f>
        <v>1929500</v>
      </c>
      <c r="W45" s="189">
        <f t="shared" si="14"/>
        <v>39953671.700000003</v>
      </c>
      <c r="X45" s="189">
        <f>NPV('1сел'!$X$1,B45:V45)</f>
        <v>32309537.150832415</v>
      </c>
    </row>
    <row r="46" spans="1:25" x14ac:dyDescent="0.25">
      <c r="A46" s="274" t="s">
        <v>328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9"/>
      <c r="X46" s="199"/>
    </row>
    <row r="47" spans="1:25" x14ac:dyDescent="0.25">
      <c r="A47" s="39" t="s">
        <v>85</v>
      </c>
      <c r="B47" s="224">
        <f>'1сел'!B32</f>
        <v>-12000</v>
      </c>
      <c r="C47" s="224">
        <f>'1сел'!C32</f>
        <v>-3072</v>
      </c>
      <c r="D47" s="224">
        <f>'1сел'!D32</f>
        <v>-4397</v>
      </c>
      <c r="E47" s="224">
        <f>'1сел'!E32</f>
        <v>-4397</v>
      </c>
      <c r="F47" s="224">
        <f>'1сел'!F32</f>
        <v>-56</v>
      </c>
      <c r="G47" s="224">
        <f>'1сел'!G32</f>
        <v>-6.3</v>
      </c>
      <c r="H47" s="224">
        <f>'1сел'!H32</f>
        <v>0</v>
      </c>
      <c r="I47" s="224">
        <f>'1сел'!I32</f>
        <v>0</v>
      </c>
      <c r="J47" s="224">
        <f>'1сел'!J32</f>
        <v>-2040</v>
      </c>
      <c r="K47" s="224">
        <f>'1сел'!K32</f>
        <v>8500</v>
      </c>
      <c r="L47" s="224">
        <f>'1сел'!L32</f>
        <v>8500</v>
      </c>
      <c r="M47" s="224">
        <f>'1сел'!M32</f>
        <v>6460</v>
      </c>
      <c r="N47" s="224">
        <f>'1сел'!N32</f>
        <v>8500</v>
      </c>
      <c r="O47" s="224">
        <f>'1сел'!O32</f>
        <v>8500</v>
      </c>
      <c r="P47" s="224">
        <f>'1сел'!P32</f>
        <v>6460</v>
      </c>
      <c r="Q47" s="224">
        <f>'1сел'!Q32</f>
        <v>8500</v>
      </c>
      <c r="R47" s="224">
        <f>'1сел'!R32</f>
        <v>8500</v>
      </c>
      <c r="S47" s="224">
        <f>'1сел'!S32</f>
        <v>6460</v>
      </c>
      <c r="T47" s="224">
        <f>'1сел'!T32</f>
        <v>8500</v>
      </c>
      <c r="U47" s="224">
        <f>'1сел'!U32</f>
        <v>8500</v>
      </c>
      <c r="V47" s="224">
        <f>'1сел'!V32</f>
        <v>8500</v>
      </c>
      <c r="W47" s="199">
        <f>SUM(B47:V47)</f>
        <v>69911.7</v>
      </c>
      <c r="X47" s="199">
        <f>NPV('1сел'!$X$1,B47:V47)</f>
        <v>45977.41270623295</v>
      </c>
    </row>
    <row r="48" spans="1:25" x14ac:dyDescent="0.25">
      <c r="A48" s="38" t="s">
        <v>86</v>
      </c>
      <c r="B48" s="56">
        <f>'3товар'!B18*1000</f>
        <v>1870000</v>
      </c>
      <c r="C48" s="56">
        <f>'3товар'!C18*1000</f>
        <v>1870000</v>
      </c>
      <c r="D48" s="56">
        <f>'3товар'!D18*1000</f>
        <v>1870000</v>
      </c>
      <c r="E48" s="56">
        <f>'3товар'!E18*1000</f>
        <v>1870000</v>
      </c>
      <c r="F48" s="56">
        <f>'3товар'!F18*1000</f>
        <v>1870000</v>
      </c>
      <c r="G48" s="56">
        <f>'3товар'!G18*1000</f>
        <v>1870000</v>
      </c>
      <c r="H48" s="56">
        <f>'3товар'!H18*1000</f>
        <v>1870000</v>
      </c>
      <c r="I48" s="56">
        <f>'3товар'!I18*1000</f>
        <v>1870000</v>
      </c>
      <c r="J48" s="56">
        <f>'3товар'!J18*1000</f>
        <v>1870000</v>
      </c>
      <c r="K48" s="56">
        <f>'3товар'!K18*1000</f>
        <v>1921000</v>
      </c>
      <c r="L48" s="56">
        <f>'3товар'!L18*1000</f>
        <v>1921000</v>
      </c>
      <c r="M48" s="56">
        <f>'3товар'!M18*1000</f>
        <v>1921000</v>
      </c>
      <c r="N48" s="56">
        <f>'3товар'!N18*1000</f>
        <v>1921000</v>
      </c>
      <c r="O48" s="56">
        <f>'3товар'!O18*1000</f>
        <v>1921000</v>
      </c>
      <c r="P48" s="56">
        <f>'3товар'!P18*1000</f>
        <v>1921000</v>
      </c>
      <c r="Q48" s="56">
        <f>'3товар'!Q18*1000</f>
        <v>1921000</v>
      </c>
      <c r="R48" s="56">
        <f>'3товар'!R18*1000</f>
        <v>1921000</v>
      </c>
      <c r="S48" s="56">
        <f>'3товар'!S18*1000</f>
        <v>1921000</v>
      </c>
      <c r="T48" s="56">
        <f>'3товар'!T18*1000</f>
        <v>1921000</v>
      </c>
      <c r="U48" s="56">
        <f>'3товар'!U18*1000</f>
        <v>1921000</v>
      </c>
      <c r="V48" s="56">
        <f>'3товар'!V18*1000</f>
        <v>1921000</v>
      </c>
      <c r="W48" s="199">
        <f>SUM(B48:V48)</f>
        <v>39882000</v>
      </c>
      <c r="X48" s="199">
        <f>NPV('1сел'!$X$1,B48:V48)</f>
        <v>32262258.726966508</v>
      </c>
    </row>
    <row r="49" spans="1:25" x14ac:dyDescent="0.25">
      <c r="A49" s="38" t="s">
        <v>87</v>
      </c>
      <c r="B49" s="247">
        <f>'2сем'!B32</f>
        <v>0</v>
      </c>
      <c r="C49" s="247">
        <f>'2сем'!C32</f>
        <v>0</v>
      </c>
      <c r="D49" s="247">
        <f>'2сем'!D32</f>
        <v>0</v>
      </c>
      <c r="E49" s="247">
        <f>'2сем'!E32</f>
        <v>0</v>
      </c>
      <c r="F49" s="247">
        <f>'2сем'!F32</f>
        <v>0</v>
      </c>
      <c r="G49" s="247">
        <f>'2сем'!G32</f>
        <v>0</v>
      </c>
      <c r="H49" s="247">
        <f>'2сем'!H32</f>
        <v>0</v>
      </c>
      <c r="I49" s="247">
        <f>'2сем'!I32</f>
        <v>-800.00000000000011</v>
      </c>
      <c r="J49" s="247">
        <f>'2сем'!J32</f>
        <v>1240</v>
      </c>
      <c r="K49" s="247">
        <f>'2сем'!K32</f>
        <v>0</v>
      </c>
      <c r="L49" s="247">
        <f>'2сем'!L32</f>
        <v>-800.00000000000011</v>
      </c>
      <c r="M49" s="247">
        <f>'2сем'!M32</f>
        <v>1240</v>
      </c>
      <c r="N49" s="247">
        <f>'2сем'!N32</f>
        <v>0</v>
      </c>
      <c r="O49" s="247">
        <f>'2сем'!O32</f>
        <v>-800.00000000000011</v>
      </c>
      <c r="P49" s="247">
        <f>'2сем'!P32</f>
        <v>1240</v>
      </c>
      <c r="Q49" s="247">
        <f>'2сем'!Q32</f>
        <v>0</v>
      </c>
      <c r="R49" s="247">
        <f>'2сем'!R32</f>
        <v>-800.00000000000011</v>
      </c>
      <c r="S49" s="247">
        <f>'2сем'!S32</f>
        <v>1240</v>
      </c>
      <c r="T49" s="247">
        <f>'2сем'!T32</f>
        <v>0</v>
      </c>
      <c r="U49" s="247">
        <f>'2сем'!U32</f>
        <v>0</v>
      </c>
      <c r="V49" s="247">
        <f>'2сем'!V32</f>
        <v>0</v>
      </c>
      <c r="W49" s="199">
        <f>SUM(B49:V49)</f>
        <v>1759.9999999999995</v>
      </c>
      <c r="X49" s="199">
        <f>NPV('1сел'!$X$1,B49:V49)</f>
        <v>1301.0111596771853</v>
      </c>
    </row>
    <row r="50" spans="1:25" x14ac:dyDescent="0.25">
      <c r="A50" s="95" t="s">
        <v>88</v>
      </c>
      <c r="B50" s="275">
        <f t="shared" ref="B50:S50" si="22">SUM(B47:B49)</f>
        <v>1858000</v>
      </c>
      <c r="C50" s="275">
        <f t="shared" si="22"/>
        <v>1866928</v>
      </c>
      <c r="D50" s="275">
        <f t="shared" si="22"/>
        <v>1865603</v>
      </c>
      <c r="E50" s="275">
        <f t="shared" si="22"/>
        <v>1865603</v>
      </c>
      <c r="F50" s="275">
        <f t="shared" si="22"/>
        <v>1869944</v>
      </c>
      <c r="G50" s="275">
        <f t="shared" si="22"/>
        <v>1869993.7</v>
      </c>
      <c r="H50" s="275">
        <f t="shared" si="22"/>
        <v>1870000</v>
      </c>
      <c r="I50" s="275">
        <f t="shared" si="22"/>
        <v>1869200</v>
      </c>
      <c r="J50" s="275">
        <f>SUM(J47:J49)</f>
        <v>1869200</v>
      </c>
      <c r="K50" s="275">
        <f t="shared" si="22"/>
        <v>1929500</v>
      </c>
      <c r="L50" s="275">
        <f t="shared" si="22"/>
        <v>1928700</v>
      </c>
      <c r="M50" s="275">
        <f t="shared" si="22"/>
        <v>1928700</v>
      </c>
      <c r="N50" s="275">
        <f t="shared" si="22"/>
        <v>1929500</v>
      </c>
      <c r="O50" s="275">
        <f t="shared" si="22"/>
        <v>1928700</v>
      </c>
      <c r="P50" s="275">
        <f t="shared" si="22"/>
        <v>1928700</v>
      </c>
      <c r="Q50" s="275">
        <f t="shared" si="22"/>
        <v>1929500</v>
      </c>
      <c r="R50" s="275">
        <f t="shared" si="22"/>
        <v>1928700</v>
      </c>
      <c r="S50" s="275">
        <f t="shared" si="22"/>
        <v>1928700</v>
      </c>
      <c r="T50" s="275">
        <f>SUM(T47:T49)</f>
        <v>1929500</v>
      </c>
      <c r="U50" s="275">
        <f>SUM(U47:U49)</f>
        <v>1929500</v>
      </c>
      <c r="V50" s="275">
        <f>SUM(V47:V49)</f>
        <v>1929500</v>
      </c>
      <c r="W50" s="199">
        <f>SUM(B50:V50)</f>
        <v>39953671.700000003</v>
      </c>
      <c r="X50" s="199">
        <f>NPV('1сел'!$X$1,B50:V50)</f>
        <v>32309537.150832415</v>
      </c>
    </row>
    <row r="51" spans="1:25" x14ac:dyDescent="0.25">
      <c r="A51" s="67" t="s">
        <v>366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199"/>
      <c r="X51" s="199"/>
    </row>
    <row r="52" spans="1:25" x14ac:dyDescent="0.25">
      <c r="A52" s="95" t="s">
        <v>329</v>
      </c>
      <c r="B52" s="275">
        <f>B47</f>
        <v>-12000</v>
      </c>
      <c r="C52" s="275">
        <f>B52+C47</f>
        <v>-15072</v>
      </c>
      <c r="D52" s="275">
        <f t="shared" ref="D52:S52" si="23">C52+D47</f>
        <v>-19469</v>
      </c>
      <c r="E52" s="275">
        <f t="shared" si="23"/>
        <v>-23866</v>
      </c>
      <c r="F52" s="275">
        <f t="shared" si="23"/>
        <v>-23922</v>
      </c>
      <c r="G52" s="275">
        <f t="shared" si="23"/>
        <v>-23928.3</v>
      </c>
      <c r="H52" s="275">
        <f t="shared" si="23"/>
        <v>-23928.3</v>
      </c>
      <c r="I52" s="275">
        <f t="shared" si="23"/>
        <v>-23928.3</v>
      </c>
      <c r="J52" s="275">
        <f t="shared" si="23"/>
        <v>-25968.3</v>
      </c>
      <c r="K52" s="275">
        <f t="shared" si="23"/>
        <v>-17468.3</v>
      </c>
      <c r="L52" s="275">
        <f t="shared" si="23"/>
        <v>-8968.2999999999993</v>
      </c>
      <c r="M52" s="275">
        <f t="shared" si="23"/>
        <v>-2508.2999999999993</v>
      </c>
      <c r="N52" s="275">
        <f t="shared" si="23"/>
        <v>5991.7000000000007</v>
      </c>
      <c r="O52" s="275">
        <f t="shared" si="23"/>
        <v>14491.7</v>
      </c>
      <c r="P52" s="275">
        <f t="shared" si="23"/>
        <v>20951.7</v>
      </c>
      <c r="Q52" s="275">
        <f t="shared" si="23"/>
        <v>29451.7</v>
      </c>
      <c r="R52" s="275">
        <f t="shared" si="23"/>
        <v>37951.699999999997</v>
      </c>
      <c r="S52" s="275">
        <f t="shared" si="23"/>
        <v>44411.7</v>
      </c>
      <c r="T52" s="275">
        <f t="shared" ref="T52:V54" si="24">S52+T47</f>
        <v>52911.7</v>
      </c>
      <c r="U52" s="275">
        <f t="shared" si="24"/>
        <v>61411.7</v>
      </c>
      <c r="V52" s="275">
        <f t="shared" si="24"/>
        <v>69911.7</v>
      </c>
      <c r="W52" s="276" t="s">
        <v>334</v>
      </c>
      <c r="X52" s="276">
        <f>MIN(B52:V52)</f>
        <v>-25968.3</v>
      </c>
    </row>
    <row r="53" spans="1:25" x14ac:dyDescent="0.25">
      <c r="A53" s="95" t="s">
        <v>330</v>
      </c>
      <c r="B53" s="275">
        <f>B48</f>
        <v>1870000</v>
      </c>
      <c r="C53" s="275">
        <f>B53+C48</f>
        <v>3740000</v>
      </c>
      <c r="D53" s="275">
        <f t="shared" ref="D53:S53" si="25">C53+D48</f>
        <v>5610000</v>
      </c>
      <c r="E53" s="275">
        <f t="shared" si="25"/>
        <v>7480000</v>
      </c>
      <c r="F53" s="275">
        <f t="shared" si="25"/>
        <v>9350000</v>
      </c>
      <c r="G53" s="275">
        <f t="shared" si="25"/>
        <v>11220000</v>
      </c>
      <c r="H53" s="275">
        <f t="shared" si="25"/>
        <v>13090000</v>
      </c>
      <c r="I53" s="275">
        <f t="shared" si="25"/>
        <v>14960000</v>
      </c>
      <c r="J53" s="275">
        <f t="shared" si="25"/>
        <v>16830000</v>
      </c>
      <c r="K53" s="275">
        <f t="shared" si="25"/>
        <v>18751000</v>
      </c>
      <c r="L53" s="275">
        <f t="shared" si="25"/>
        <v>20672000</v>
      </c>
      <c r="M53" s="275">
        <f t="shared" si="25"/>
        <v>22593000</v>
      </c>
      <c r="N53" s="275">
        <f t="shared" si="25"/>
        <v>24514000</v>
      </c>
      <c r="O53" s="275">
        <f t="shared" si="25"/>
        <v>26435000</v>
      </c>
      <c r="P53" s="275">
        <f t="shared" si="25"/>
        <v>28356000</v>
      </c>
      <c r="Q53" s="275">
        <f t="shared" si="25"/>
        <v>30277000</v>
      </c>
      <c r="R53" s="275">
        <f t="shared" si="25"/>
        <v>32198000</v>
      </c>
      <c r="S53" s="275">
        <f t="shared" si="25"/>
        <v>34119000</v>
      </c>
      <c r="T53" s="275">
        <f t="shared" si="24"/>
        <v>36040000</v>
      </c>
      <c r="U53" s="275">
        <f t="shared" si="24"/>
        <v>37961000</v>
      </c>
      <c r="V53" s="275">
        <f t="shared" si="24"/>
        <v>39882000</v>
      </c>
      <c r="W53" s="276" t="s">
        <v>334</v>
      </c>
      <c r="X53" s="276">
        <f>MIN(B53:V53)</f>
        <v>1870000</v>
      </c>
    </row>
    <row r="54" spans="1:25" x14ac:dyDescent="0.25">
      <c r="A54" s="95" t="s">
        <v>331</v>
      </c>
      <c r="B54" s="275">
        <f>B49</f>
        <v>0</v>
      </c>
      <c r="C54" s="275">
        <f>B54+C49</f>
        <v>0</v>
      </c>
      <c r="D54" s="275">
        <f t="shared" ref="D54:S54" si="26">C54+D49</f>
        <v>0</v>
      </c>
      <c r="E54" s="275">
        <f t="shared" si="26"/>
        <v>0</v>
      </c>
      <c r="F54" s="275">
        <f t="shared" si="26"/>
        <v>0</v>
      </c>
      <c r="G54" s="275">
        <f t="shared" si="26"/>
        <v>0</v>
      </c>
      <c r="H54" s="275">
        <f t="shared" si="26"/>
        <v>0</v>
      </c>
      <c r="I54" s="275">
        <f t="shared" si="26"/>
        <v>-800.00000000000011</v>
      </c>
      <c r="J54" s="275">
        <f t="shared" si="26"/>
        <v>439.99999999999989</v>
      </c>
      <c r="K54" s="275">
        <f t="shared" si="26"/>
        <v>439.99999999999989</v>
      </c>
      <c r="L54" s="275">
        <f t="shared" si="26"/>
        <v>-360.00000000000023</v>
      </c>
      <c r="M54" s="275">
        <f t="shared" si="26"/>
        <v>879.99999999999977</v>
      </c>
      <c r="N54" s="275">
        <f t="shared" si="26"/>
        <v>879.99999999999977</v>
      </c>
      <c r="O54" s="275">
        <f t="shared" si="26"/>
        <v>79.999999999999659</v>
      </c>
      <c r="P54" s="275">
        <f t="shared" si="26"/>
        <v>1319.9999999999995</v>
      </c>
      <c r="Q54" s="275">
        <f t="shared" si="26"/>
        <v>1319.9999999999995</v>
      </c>
      <c r="R54" s="275">
        <f t="shared" si="26"/>
        <v>519.99999999999943</v>
      </c>
      <c r="S54" s="275">
        <f t="shared" si="26"/>
        <v>1759.9999999999995</v>
      </c>
      <c r="T54" s="275">
        <f t="shared" si="24"/>
        <v>1759.9999999999995</v>
      </c>
      <c r="U54" s="275">
        <f t="shared" si="24"/>
        <v>1759.9999999999995</v>
      </c>
      <c r="V54" s="275">
        <f t="shared" si="24"/>
        <v>1759.9999999999995</v>
      </c>
      <c r="W54" s="276" t="s">
        <v>334</v>
      </c>
      <c r="X54" s="276">
        <f>MIN(B54:V54)</f>
        <v>-800.00000000000011</v>
      </c>
    </row>
    <row r="55" spans="1:25" x14ac:dyDescent="0.25">
      <c r="A55" s="95" t="s">
        <v>332</v>
      </c>
      <c r="B55" s="275">
        <f>SUM(B52:B54)</f>
        <v>1858000</v>
      </c>
      <c r="C55" s="275">
        <f>B55+SUM(C47:C49)</f>
        <v>3724928</v>
      </c>
      <c r="D55" s="275">
        <f t="shared" ref="D55:S55" si="27">C55+SUM(D47:D49)</f>
        <v>5590531</v>
      </c>
      <c r="E55" s="275">
        <f t="shared" si="27"/>
        <v>7456134</v>
      </c>
      <c r="F55" s="275">
        <f t="shared" si="27"/>
        <v>9326078</v>
      </c>
      <c r="G55" s="275">
        <f t="shared" si="27"/>
        <v>11196071.699999999</v>
      </c>
      <c r="H55" s="275">
        <f t="shared" si="27"/>
        <v>13066071.699999999</v>
      </c>
      <c r="I55" s="275">
        <f t="shared" si="27"/>
        <v>14935271.699999999</v>
      </c>
      <c r="J55" s="275">
        <f t="shared" si="27"/>
        <v>16804471.699999999</v>
      </c>
      <c r="K55" s="275">
        <f t="shared" si="27"/>
        <v>18733971.699999999</v>
      </c>
      <c r="L55" s="275">
        <f t="shared" si="27"/>
        <v>20662671.699999999</v>
      </c>
      <c r="M55" s="275">
        <f t="shared" si="27"/>
        <v>22591371.699999999</v>
      </c>
      <c r="N55" s="275">
        <f t="shared" si="27"/>
        <v>24520871.699999999</v>
      </c>
      <c r="O55" s="275">
        <f t="shared" si="27"/>
        <v>26449571.699999999</v>
      </c>
      <c r="P55" s="275">
        <f t="shared" si="27"/>
        <v>28378271.699999999</v>
      </c>
      <c r="Q55" s="275">
        <f t="shared" si="27"/>
        <v>30307771.699999999</v>
      </c>
      <c r="R55" s="275">
        <f t="shared" si="27"/>
        <v>32236471.699999999</v>
      </c>
      <c r="S55" s="275">
        <f t="shared" si="27"/>
        <v>34165171.700000003</v>
      </c>
      <c r="T55" s="275">
        <f>S55+SUM(T47:T49)</f>
        <v>36094671.700000003</v>
      </c>
      <c r="U55" s="275">
        <f>T55+SUM(U47:U49)</f>
        <v>38024171.700000003</v>
      </c>
      <c r="V55" s="275">
        <f>U55+SUM(V47:V49)</f>
        <v>39953671.700000003</v>
      </c>
      <c r="W55" s="276" t="s">
        <v>334</v>
      </c>
      <c r="X55" s="276">
        <f>MIN(B55:V55)</f>
        <v>1858000</v>
      </c>
    </row>
    <row r="56" spans="1:25" x14ac:dyDescent="0.25">
      <c r="A56" s="95" t="s">
        <v>333</v>
      </c>
      <c r="B56" s="275">
        <f>B50</f>
        <v>1858000</v>
      </c>
      <c r="C56" s="275">
        <f>B56+C50</f>
        <v>3724928</v>
      </c>
      <c r="D56" s="275">
        <f t="shared" ref="D56:S56" si="28">C56+D50</f>
        <v>5590531</v>
      </c>
      <c r="E56" s="275">
        <f t="shared" si="28"/>
        <v>7456134</v>
      </c>
      <c r="F56" s="275">
        <f t="shared" si="28"/>
        <v>9326078</v>
      </c>
      <c r="G56" s="275">
        <f t="shared" si="28"/>
        <v>11196071.699999999</v>
      </c>
      <c r="H56" s="275">
        <f t="shared" si="28"/>
        <v>13066071.699999999</v>
      </c>
      <c r="I56" s="275">
        <f t="shared" si="28"/>
        <v>14935271.699999999</v>
      </c>
      <c r="J56" s="275">
        <f t="shared" si="28"/>
        <v>16804471.699999999</v>
      </c>
      <c r="K56" s="275">
        <f t="shared" si="28"/>
        <v>18733971.699999999</v>
      </c>
      <c r="L56" s="275">
        <f t="shared" si="28"/>
        <v>20662671.699999999</v>
      </c>
      <c r="M56" s="275">
        <f t="shared" si="28"/>
        <v>22591371.699999999</v>
      </c>
      <c r="N56" s="275">
        <f t="shared" si="28"/>
        <v>24520871.699999999</v>
      </c>
      <c r="O56" s="275">
        <f t="shared" si="28"/>
        <v>26449571.699999999</v>
      </c>
      <c r="P56" s="275">
        <f t="shared" si="28"/>
        <v>28378271.699999999</v>
      </c>
      <c r="Q56" s="275">
        <f t="shared" si="28"/>
        <v>30307771.699999999</v>
      </c>
      <c r="R56" s="275">
        <f t="shared" si="28"/>
        <v>32236471.699999999</v>
      </c>
      <c r="S56" s="275">
        <f t="shared" si="28"/>
        <v>34165171.700000003</v>
      </c>
      <c r="T56" s="275">
        <f>S56+T50</f>
        <v>36094671.700000003</v>
      </c>
      <c r="U56" s="275">
        <f>T56+U50</f>
        <v>38024171.700000003</v>
      </c>
      <c r="V56" s="275">
        <f>U56+V50</f>
        <v>39953671.700000003</v>
      </c>
      <c r="W56" s="276" t="s">
        <v>334</v>
      </c>
      <c r="X56" s="276">
        <f>MIN(B56:V56)</f>
        <v>1858000</v>
      </c>
    </row>
    <row r="57" spans="1:25" s="284" customFormat="1" x14ac:dyDescent="0.25">
      <c r="A57" s="281" t="s">
        <v>347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3"/>
      <c r="X57" s="283"/>
      <c r="Y57" s="47"/>
    </row>
    <row r="58" spans="1:25" x14ac:dyDescent="0.25">
      <c r="A58" s="278" t="s">
        <v>342</v>
      </c>
      <c r="B58" s="64">
        <f t="shared" ref="B58:L58" si="29">IF(AND(B52&lt;0,C52&gt;0),B$1+(-B52/(-B52+C52)),0)</f>
        <v>0</v>
      </c>
      <c r="C58" s="64">
        <f t="shared" si="29"/>
        <v>0</v>
      </c>
      <c r="D58" s="64">
        <f t="shared" si="29"/>
        <v>0</v>
      </c>
      <c r="E58" s="64">
        <f t="shared" si="29"/>
        <v>0</v>
      </c>
      <c r="F58" s="64">
        <f t="shared" si="29"/>
        <v>0</v>
      </c>
      <c r="G58" s="64">
        <f t="shared" si="29"/>
        <v>0</v>
      </c>
      <c r="H58" s="64">
        <f t="shared" si="29"/>
        <v>0</v>
      </c>
      <c r="I58" s="64">
        <f t="shared" si="29"/>
        <v>0</v>
      </c>
      <c r="J58" s="64">
        <f t="shared" si="29"/>
        <v>0</v>
      </c>
      <c r="K58" s="64">
        <f t="shared" si="29"/>
        <v>0</v>
      </c>
      <c r="L58" s="64">
        <f t="shared" si="29"/>
        <v>0</v>
      </c>
      <c r="M58" s="64">
        <f>IF(AND(M52&lt;0,N52&gt;0),M$1+(-M52/(-M52+N52)),0)</f>
        <v>12.295094117647059</v>
      </c>
      <c r="N58" s="64">
        <f t="shared" ref="N58:S58" si="30">IF(AND(N52&lt;0,O52&gt;0),N$1+(-N52/(-N52+O52)),0)</f>
        <v>0</v>
      </c>
      <c r="O58" s="64">
        <f t="shared" si="30"/>
        <v>0</v>
      </c>
      <c r="P58" s="64">
        <f t="shared" si="30"/>
        <v>0</v>
      </c>
      <c r="Q58" s="64">
        <f t="shared" si="30"/>
        <v>0</v>
      </c>
      <c r="R58" s="64">
        <f t="shared" si="30"/>
        <v>0</v>
      </c>
      <c r="S58" s="64">
        <f t="shared" si="30"/>
        <v>0</v>
      </c>
      <c r="T58" s="64">
        <f t="shared" ref="T58:V61" si="31">IF(AND(T52&lt;0,V52&gt;0),T$1+(-T52/(-T52+V52)),0)</f>
        <v>0</v>
      </c>
      <c r="U58" s="64">
        <f t="shared" si="31"/>
        <v>0</v>
      </c>
      <c r="V58" s="64">
        <f t="shared" si="31"/>
        <v>0</v>
      </c>
      <c r="W58" s="279" t="s">
        <v>346</v>
      </c>
      <c r="X58" s="280">
        <f>MAX(B58:V58)</f>
        <v>12.295094117647059</v>
      </c>
    </row>
    <row r="59" spans="1:25" x14ac:dyDescent="0.25">
      <c r="A59" s="278" t="s">
        <v>343</v>
      </c>
      <c r="B59" s="64">
        <f t="shared" ref="B59:S59" si="32">IF(AND(B53&lt;0,C53&gt;0),B$1+(-B53/(-B53+C53)),0)</f>
        <v>0</v>
      </c>
      <c r="C59" s="64">
        <f t="shared" si="32"/>
        <v>0</v>
      </c>
      <c r="D59" s="64">
        <f t="shared" si="32"/>
        <v>0</v>
      </c>
      <c r="E59" s="64">
        <f t="shared" si="32"/>
        <v>0</v>
      </c>
      <c r="F59" s="64">
        <f t="shared" si="32"/>
        <v>0</v>
      </c>
      <c r="G59" s="64">
        <f t="shared" si="32"/>
        <v>0</v>
      </c>
      <c r="H59" s="64">
        <f t="shared" si="32"/>
        <v>0</v>
      </c>
      <c r="I59" s="64">
        <f t="shared" si="32"/>
        <v>0</v>
      </c>
      <c r="J59" s="64">
        <f t="shared" si="32"/>
        <v>0</v>
      </c>
      <c r="K59" s="64">
        <f t="shared" si="32"/>
        <v>0</v>
      </c>
      <c r="L59" s="64">
        <f t="shared" si="32"/>
        <v>0</v>
      </c>
      <c r="M59" s="64">
        <f t="shared" si="32"/>
        <v>0</v>
      </c>
      <c r="N59" s="64">
        <f t="shared" si="32"/>
        <v>0</v>
      </c>
      <c r="O59" s="64">
        <f t="shared" si="32"/>
        <v>0</v>
      </c>
      <c r="P59" s="64">
        <f t="shared" si="32"/>
        <v>0</v>
      </c>
      <c r="Q59" s="64">
        <f t="shared" si="32"/>
        <v>0</v>
      </c>
      <c r="R59" s="64">
        <f t="shared" si="32"/>
        <v>0</v>
      </c>
      <c r="S59" s="64">
        <f t="shared" si="32"/>
        <v>0</v>
      </c>
      <c r="T59" s="64">
        <f t="shared" si="31"/>
        <v>0</v>
      </c>
      <c r="U59" s="64">
        <f t="shared" si="31"/>
        <v>0</v>
      </c>
      <c r="V59" s="64">
        <f t="shared" si="31"/>
        <v>0</v>
      </c>
      <c r="W59" s="279" t="s">
        <v>346</v>
      </c>
      <c r="X59" s="280">
        <f>MAX(B59:V59)</f>
        <v>0</v>
      </c>
    </row>
    <row r="60" spans="1:25" x14ac:dyDescent="0.25">
      <c r="A60" s="278" t="s">
        <v>344</v>
      </c>
      <c r="B60" s="64">
        <f t="shared" ref="B60:S60" si="33">IF(AND(B54&lt;0,C54&gt;0),B$1+(-B54/(-B54+C54)),0)</f>
        <v>0</v>
      </c>
      <c r="C60" s="64">
        <f t="shared" si="33"/>
        <v>0</v>
      </c>
      <c r="D60" s="64">
        <f t="shared" si="33"/>
        <v>0</v>
      </c>
      <c r="E60" s="64">
        <f t="shared" si="33"/>
        <v>0</v>
      </c>
      <c r="F60" s="64">
        <f t="shared" si="33"/>
        <v>0</v>
      </c>
      <c r="G60" s="64">
        <f t="shared" si="33"/>
        <v>0</v>
      </c>
      <c r="H60" s="64">
        <f t="shared" si="33"/>
        <v>0</v>
      </c>
      <c r="I60" s="64">
        <f t="shared" si="33"/>
        <v>8.6451612903225801</v>
      </c>
      <c r="J60" s="64">
        <f t="shared" si="33"/>
        <v>0</v>
      </c>
      <c r="K60" s="64">
        <f t="shared" si="33"/>
        <v>0</v>
      </c>
      <c r="L60" s="64">
        <f t="shared" si="33"/>
        <v>11.290322580645162</v>
      </c>
      <c r="M60" s="64">
        <f t="shared" si="33"/>
        <v>0</v>
      </c>
      <c r="N60" s="64">
        <f t="shared" si="33"/>
        <v>0</v>
      </c>
      <c r="O60" s="64">
        <f t="shared" si="33"/>
        <v>0</v>
      </c>
      <c r="P60" s="64">
        <f t="shared" si="33"/>
        <v>0</v>
      </c>
      <c r="Q60" s="64">
        <f t="shared" si="33"/>
        <v>0</v>
      </c>
      <c r="R60" s="64">
        <f t="shared" si="33"/>
        <v>0</v>
      </c>
      <c r="S60" s="64">
        <f t="shared" si="33"/>
        <v>0</v>
      </c>
      <c r="T60" s="64">
        <f t="shared" si="31"/>
        <v>0</v>
      </c>
      <c r="U60" s="64">
        <f t="shared" si="31"/>
        <v>0</v>
      </c>
      <c r="V60" s="64">
        <f t="shared" si="31"/>
        <v>0</v>
      </c>
      <c r="W60" s="279" t="s">
        <v>346</v>
      </c>
      <c r="X60" s="280">
        <f>MAX(B60:V60)</f>
        <v>11.290322580645162</v>
      </c>
    </row>
    <row r="61" spans="1:25" x14ac:dyDescent="0.25">
      <c r="A61" s="278" t="s">
        <v>345</v>
      </c>
      <c r="B61" s="64">
        <f t="shared" ref="B61:S61" si="34">IF(AND(B55&lt;0,C55&gt;0),B$1+(-B55/(-B55+C55)),0)</f>
        <v>0</v>
      </c>
      <c r="C61" s="64">
        <f t="shared" si="34"/>
        <v>0</v>
      </c>
      <c r="D61" s="64">
        <f t="shared" si="34"/>
        <v>0</v>
      </c>
      <c r="E61" s="64">
        <f t="shared" si="34"/>
        <v>0</v>
      </c>
      <c r="F61" s="64">
        <f t="shared" si="34"/>
        <v>0</v>
      </c>
      <c r="G61" s="64">
        <f t="shared" si="34"/>
        <v>0</v>
      </c>
      <c r="H61" s="64">
        <f t="shared" si="34"/>
        <v>0</v>
      </c>
      <c r="I61" s="64">
        <f t="shared" si="34"/>
        <v>0</v>
      </c>
      <c r="J61" s="64">
        <f t="shared" si="34"/>
        <v>0</v>
      </c>
      <c r="K61" s="64">
        <f t="shared" si="34"/>
        <v>0</v>
      </c>
      <c r="L61" s="64">
        <f t="shared" si="34"/>
        <v>0</v>
      </c>
      <c r="M61" s="64">
        <f t="shared" si="34"/>
        <v>0</v>
      </c>
      <c r="N61" s="64">
        <f t="shared" si="34"/>
        <v>0</v>
      </c>
      <c r="O61" s="64">
        <f t="shared" si="34"/>
        <v>0</v>
      </c>
      <c r="P61" s="64">
        <f t="shared" si="34"/>
        <v>0</v>
      </c>
      <c r="Q61" s="64">
        <f t="shared" si="34"/>
        <v>0</v>
      </c>
      <c r="R61" s="64">
        <f t="shared" si="34"/>
        <v>0</v>
      </c>
      <c r="S61" s="64">
        <f t="shared" si="34"/>
        <v>0</v>
      </c>
      <c r="T61" s="64">
        <f t="shared" si="31"/>
        <v>0</v>
      </c>
      <c r="U61" s="64">
        <f t="shared" si="31"/>
        <v>0</v>
      </c>
      <c r="V61" s="64">
        <f t="shared" si="31"/>
        <v>0</v>
      </c>
      <c r="W61" s="279" t="s">
        <v>346</v>
      </c>
      <c r="X61" s="280">
        <f>MAX(B61:V61)</f>
        <v>0</v>
      </c>
    </row>
    <row r="62" spans="1:25" x14ac:dyDescent="0.25">
      <c r="A62" t="s">
        <v>319</v>
      </c>
    </row>
    <row r="63" spans="1:25" x14ac:dyDescent="0.25">
      <c r="A63" t="s">
        <v>320</v>
      </c>
      <c r="B63" s="215">
        <f t="shared" ref="B63:S63" si="35">B47-B18</f>
        <v>-7603</v>
      </c>
      <c r="C63" s="215">
        <f t="shared" si="35"/>
        <v>1325</v>
      </c>
      <c r="D63" s="215">
        <f t="shared" si="35"/>
        <v>0</v>
      </c>
      <c r="E63" s="215">
        <f t="shared" si="35"/>
        <v>0</v>
      </c>
      <c r="F63" s="215">
        <f t="shared" si="35"/>
        <v>4341</v>
      </c>
      <c r="G63" s="215">
        <f t="shared" si="35"/>
        <v>4390.7</v>
      </c>
      <c r="H63" s="215">
        <f t="shared" si="35"/>
        <v>4397</v>
      </c>
      <c r="I63" s="215">
        <f t="shared" si="35"/>
        <v>4397</v>
      </c>
      <c r="J63" s="215">
        <f t="shared" si="35"/>
        <v>2357</v>
      </c>
      <c r="K63" s="215">
        <f t="shared" si="35"/>
        <v>12897</v>
      </c>
      <c r="L63" s="215">
        <f t="shared" si="35"/>
        <v>12897</v>
      </c>
      <c r="M63" s="215">
        <f t="shared" si="35"/>
        <v>10857</v>
      </c>
      <c r="N63" s="215">
        <f t="shared" si="35"/>
        <v>11988</v>
      </c>
      <c r="O63" s="215">
        <f t="shared" si="35"/>
        <v>11988</v>
      </c>
      <c r="P63" s="215">
        <f t="shared" si="35"/>
        <v>6466.3</v>
      </c>
      <c r="Q63" s="215">
        <f t="shared" si="35"/>
        <v>8500</v>
      </c>
      <c r="R63" s="215">
        <f t="shared" si="35"/>
        <v>8500</v>
      </c>
      <c r="S63" s="215">
        <f t="shared" si="35"/>
        <v>8500</v>
      </c>
      <c r="T63" s="215">
        <f t="shared" ref="T63:V65" si="36">T47-T18</f>
        <v>0</v>
      </c>
      <c r="U63" s="215">
        <f t="shared" si="36"/>
        <v>0</v>
      </c>
      <c r="V63" s="215">
        <f t="shared" si="36"/>
        <v>0</v>
      </c>
      <c r="W63" s="189">
        <f>SUM(B63:V63)</f>
        <v>106198</v>
      </c>
      <c r="X63" s="189">
        <f>NPV('1сел'!$X$1,B63:V63)</f>
        <v>82086.987473545305</v>
      </c>
    </row>
    <row r="64" spans="1:25" x14ac:dyDescent="0.25">
      <c r="A64" t="s">
        <v>321</v>
      </c>
      <c r="B64">
        <f t="shared" ref="B64:S64" si="37">B48-B19</f>
        <v>0</v>
      </c>
      <c r="C64">
        <f t="shared" si="37"/>
        <v>0</v>
      </c>
      <c r="D64">
        <f t="shared" si="37"/>
        <v>0</v>
      </c>
      <c r="E64">
        <f t="shared" si="37"/>
        <v>0</v>
      </c>
      <c r="F64">
        <f t="shared" si="37"/>
        <v>0</v>
      </c>
      <c r="G64">
        <f t="shared" si="37"/>
        <v>0</v>
      </c>
      <c r="H64">
        <f t="shared" si="37"/>
        <v>0</v>
      </c>
      <c r="I64">
        <f t="shared" si="37"/>
        <v>0</v>
      </c>
      <c r="J64">
        <f t="shared" si="37"/>
        <v>0</v>
      </c>
      <c r="K64">
        <f t="shared" si="37"/>
        <v>51000</v>
      </c>
      <c r="L64">
        <f t="shared" si="37"/>
        <v>51000</v>
      </c>
      <c r="M64">
        <f t="shared" si="37"/>
        <v>51000</v>
      </c>
      <c r="N64">
        <f t="shared" si="37"/>
        <v>51000</v>
      </c>
      <c r="O64">
        <f t="shared" si="37"/>
        <v>51000</v>
      </c>
      <c r="P64">
        <f t="shared" si="37"/>
        <v>51000</v>
      </c>
      <c r="Q64">
        <f t="shared" si="37"/>
        <v>51000</v>
      </c>
      <c r="R64">
        <f t="shared" si="37"/>
        <v>51000</v>
      </c>
      <c r="S64">
        <f t="shared" si="37"/>
        <v>51000</v>
      </c>
      <c r="T64">
        <f t="shared" si="36"/>
        <v>0</v>
      </c>
      <c r="U64">
        <f t="shared" si="36"/>
        <v>0</v>
      </c>
      <c r="V64">
        <f t="shared" si="36"/>
        <v>0</v>
      </c>
      <c r="W64" s="189">
        <f>SUM(B64:V64)</f>
        <v>459000</v>
      </c>
      <c r="X64" s="189">
        <f>NPV('1сел'!$X$1,B64:V64)</f>
        <v>348319.52181293961</v>
      </c>
    </row>
    <row r="65" spans="1:25" x14ac:dyDescent="0.25">
      <c r="A65" t="s">
        <v>322</v>
      </c>
      <c r="B65" s="215">
        <f t="shared" ref="B65:S65" si="38">B49-B20</f>
        <v>0</v>
      </c>
      <c r="C65" s="215">
        <f t="shared" si="38"/>
        <v>0</v>
      </c>
      <c r="D65" s="215">
        <f t="shared" si="38"/>
        <v>0</v>
      </c>
      <c r="E65" s="215">
        <f t="shared" si="38"/>
        <v>0</v>
      </c>
      <c r="F65" s="215">
        <f t="shared" si="38"/>
        <v>0</v>
      </c>
      <c r="G65" s="215">
        <f t="shared" si="38"/>
        <v>0</v>
      </c>
      <c r="H65" s="215">
        <f t="shared" si="38"/>
        <v>0</v>
      </c>
      <c r="I65" s="215">
        <f t="shared" si="38"/>
        <v>-800.00000000000011</v>
      </c>
      <c r="J65" s="215">
        <f t="shared" si="38"/>
        <v>1240</v>
      </c>
      <c r="K65" s="215">
        <f t="shared" si="38"/>
        <v>0</v>
      </c>
      <c r="L65" s="215">
        <f t="shared" si="38"/>
        <v>-800.00000000000011</v>
      </c>
      <c r="M65" s="215">
        <f t="shared" si="38"/>
        <v>1240</v>
      </c>
      <c r="N65" s="215">
        <f t="shared" si="38"/>
        <v>0</v>
      </c>
      <c r="O65" s="215">
        <f t="shared" si="38"/>
        <v>-800.00000000000011</v>
      </c>
      <c r="P65" s="215">
        <f t="shared" si="38"/>
        <v>1240</v>
      </c>
      <c r="Q65" s="215">
        <f t="shared" si="38"/>
        <v>0</v>
      </c>
      <c r="R65" s="215">
        <f t="shared" si="38"/>
        <v>0</v>
      </c>
      <c r="S65" s="215">
        <f t="shared" si="38"/>
        <v>0</v>
      </c>
      <c r="T65" s="215">
        <f t="shared" si="36"/>
        <v>0</v>
      </c>
      <c r="U65" s="215">
        <f t="shared" si="36"/>
        <v>0</v>
      </c>
      <c r="V65" s="215">
        <f t="shared" si="36"/>
        <v>0</v>
      </c>
      <c r="W65" s="189">
        <f>SUM(B65:V65)</f>
        <v>1319.9999999999995</v>
      </c>
      <c r="X65" s="189">
        <f>NPV('1сел'!$X$1,B65:V65)</f>
        <v>1004.143584691761</v>
      </c>
    </row>
    <row r="66" spans="1:25" x14ac:dyDescent="0.25">
      <c r="A66" t="s">
        <v>323</v>
      </c>
      <c r="B66" s="215">
        <f>SUM(B63:B65)</f>
        <v>-7603</v>
      </c>
      <c r="C66" s="215">
        <f t="shared" ref="C66:S66" si="39">SUM(C63:C65)</f>
        <v>1325</v>
      </c>
      <c r="D66" s="215">
        <f t="shared" si="39"/>
        <v>0</v>
      </c>
      <c r="E66" s="215">
        <f t="shared" si="39"/>
        <v>0</v>
      </c>
      <c r="F66" s="215">
        <f t="shared" si="39"/>
        <v>4341</v>
      </c>
      <c r="G66" s="215">
        <f t="shared" si="39"/>
        <v>4390.7</v>
      </c>
      <c r="H66" s="215">
        <f t="shared" si="39"/>
        <v>4397</v>
      </c>
      <c r="I66" s="215">
        <f t="shared" si="39"/>
        <v>3597</v>
      </c>
      <c r="J66" s="215">
        <f t="shared" si="39"/>
        <v>3597</v>
      </c>
      <c r="K66" s="215">
        <f t="shared" si="39"/>
        <v>63897</v>
      </c>
      <c r="L66" s="215">
        <f t="shared" si="39"/>
        <v>63097</v>
      </c>
      <c r="M66" s="215">
        <f t="shared" si="39"/>
        <v>63097</v>
      </c>
      <c r="N66" s="215">
        <f t="shared" si="39"/>
        <v>62988</v>
      </c>
      <c r="O66" s="215">
        <f t="shared" si="39"/>
        <v>62188</v>
      </c>
      <c r="P66" s="215">
        <f t="shared" si="39"/>
        <v>58706.3</v>
      </c>
      <c r="Q66" s="215">
        <f t="shared" si="39"/>
        <v>59500</v>
      </c>
      <c r="R66" s="215">
        <f t="shared" si="39"/>
        <v>59500</v>
      </c>
      <c r="S66" s="215">
        <f t="shared" si="39"/>
        <v>59500</v>
      </c>
      <c r="T66" s="215">
        <f>SUM(T63:T65)</f>
        <v>0</v>
      </c>
      <c r="U66" s="215">
        <f>SUM(U63:U65)</f>
        <v>0</v>
      </c>
      <c r="V66" s="215">
        <f>SUM(V63:V65)</f>
        <v>0</v>
      </c>
      <c r="W66" s="189">
        <f>SUM(B66:V66)</f>
        <v>566518</v>
      </c>
      <c r="X66" s="189">
        <f>NPV('1сел'!$X$1,B66:V66)</f>
        <v>431410.6528711766</v>
      </c>
    </row>
    <row r="67" spans="1:25" x14ac:dyDescent="0.25">
      <c r="A67" t="s">
        <v>324</v>
      </c>
    </row>
    <row r="68" spans="1:25" x14ac:dyDescent="0.25">
      <c r="A68" t="s">
        <v>320</v>
      </c>
      <c r="B68" s="215">
        <f>'1сел'!B38</f>
        <v>-7603</v>
      </c>
      <c r="C68" s="215">
        <f>'1сел'!C38</f>
        <v>1325</v>
      </c>
      <c r="D68" s="215">
        <f>'1сел'!D38</f>
        <v>0</v>
      </c>
      <c r="E68" s="215">
        <f>'1сел'!E38</f>
        <v>0</v>
      </c>
      <c r="F68" s="215">
        <f>'1сел'!F38</f>
        <v>4341</v>
      </c>
      <c r="G68" s="215">
        <f>'1сел'!G38</f>
        <v>4390.7</v>
      </c>
      <c r="H68" s="215">
        <f>'1сел'!H38</f>
        <v>4397</v>
      </c>
      <c r="I68" s="215">
        <f>'1сел'!I38</f>
        <v>4397</v>
      </c>
      <c r="J68" s="215">
        <f>'1сел'!J38</f>
        <v>2357</v>
      </c>
      <c r="K68" s="215">
        <f>'1сел'!K38</f>
        <v>12897</v>
      </c>
      <c r="L68" s="215">
        <f>'1сел'!L38</f>
        <v>12897</v>
      </c>
      <c r="M68" s="215">
        <f>'1сел'!M38</f>
        <v>10857</v>
      </c>
      <c r="N68" s="215">
        <f>'1сел'!N38</f>
        <v>11988</v>
      </c>
      <c r="O68" s="215">
        <f>'1сел'!O38</f>
        <v>11988</v>
      </c>
      <c r="P68" s="215">
        <f>'1сел'!P38</f>
        <v>6466.3</v>
      </c>
      <c r="Q68" s="215">
        <f>'1сел'!Q38</f>
        <v>8500</v>
      </c>
      <c r="R68" s="215">
        <f>'1сел'!R38</f>
        <v>8500</v>
      </c>
      <c r="S68" s="215">
        <f>'1сел'!S38</f>
        <v>8500</v>
      </c>
      <c r="T68" s="215">
        <f>'1сел'!T38</f>
        <v>0</v>
      </c>
      <c r="U68" s="215">
        <f>'1сел'!U38</f>
        <v>0</v>
      </c>
      <c r="V68" s="215">
        <f>'1сел'!V38</f>
        <v>0</v>
      </c>
      <c r="W68" s="189">
        <f>SUM(B68:V68)</f>
        <v>106198</v>
      </c>
      <c r="X68" s="189">
        <f>NPV('1сел'!$X$1,B68:V68)</f>
        <v>82086.987473545305</v>
      </c>
    </row>
    <row r="69" spans="1:25" x14ac:dyDescent="0.25">
      <c r="A69" t="s">
        <v>321</v>
      </c>
      <c r="B69" s="215">
        <f>'3товар'!B26*1000</f>
        <v>0</v>
      </c>
      <c r="C69" s="215">
        <f>'3товар'!C26*1000</f>
        <v>0</v>
      </c>
      <c r="D69" s="215">
        <f>'3товар'!D26*1000</f>
        <v>0</v>
      </c>
      <c r="E69" s="215">
        <f>'3товар'!E26*1000</f>
        <v>0</v>
      </c>
      <c r="F69" s="215">
        <f>'3товар'!F26*1000</f>
        <v>0</v>
      </c>
      <c r="G69" s="215">
        <f>'3товар'!G26*1000</f>
        <v>0</v>
      </c>
      <c r="H69" s="215">
        <f>'3товар'!H26*1000</f>
        <v>0</v>
      </c>
      <c r="I69" s="215">
        <f>'3товар'!I26*1000</f>
        <v>0</v>
      </c>
      <c r="J69" s="215">
        <f>'3товар'!J26*1000</f>
        <v>0</v>
      </c>
      <c r="K69" s="215">
        <f>'3товар'!K26*1000</f>
        <v>51000</v>
      </c>
      <c r="L69" s="215">
        <f>'3товар'!L26*1000</f>
        <v>51000</v>
      </c>
      <c r="M69" s="215">
        <f>'3товар'!M26*1000</f>
        <v>51000</v>
      </c>
      <c r="N69" s="215">
        <f>'3товар'!N26*1000</f>
        <v>51000</v>
      </c>
      <c r="O69" s="215">
        <f>'3товар'!O26*1000</f>
        <v>51000</v>
      </c>
      <c r="P69" s="215">
        <f>'3товар'!P26*1000</f>
        <v>51000</v>
      </c>
      <c r="Q69" s="215">
        <f>'3товар'!Q26*1000</f>
        <v>51000</v>
      </c>
      <c r="R69" s="215">
        <f>'3товар'!R26*1000</f>
        <v>51000</v>
      </c>
      <c r="S69" s="215">
        <f>'3товар'!S26*1000</f>
        <v>51000</v>
      </c>
      <c r="T69" s="215">
        <f>'3товар'!T26*1000</f>
        <v>0</v>
      </c>
      <c r="U69" s="215">
        <f>'3товар'!U26*1000</f>
        <v>0</v>
      </c>
      <c r="V69" s="215">
        <f>'3товар'!V26*1000</f>
        <v>0</v>
      </c>
      <c r="W69" s="189">
        <f>SUM(B69:V69)</f>
        <v>459000</v>
      </c>
      <c r="X69" s="189">
        <f>NPV('1сел'!$X$1,B69:V69)</f>
        <v>348319.52181293961</v>
      </c>
    </row>
    <row r="70" spans="1:25" x14ac:dyDescent="0.25">
      <c r="A70" t="s">
        <v>322</v>
      </c>
      <c r="B70" s="215">
        <f>'2сем'!B38</f>
        <v>0</v>
      </c>
      <c r="C70" s="215">
        <f>'2сем'!C38</f>
        <v>0</v>
      </c>
      <c r="D70" s="215">
        <f>'2сем'!D38</f>
        <v>0</v>
      </c>
      <c r="E70" s="215">
        <f>'2сем'!E38</f>
        <v>0</v>
      </c>
      <c r="F70" s="215">
        <f>'2сем'!F38</f>
        <v>0</v>
      </c>
      <c r="G70" s="215">
        <f>'2сем'!G38</f>
        <v>0</v>
      </c>
      <c r="H70" s="215">
        <f>'2сем'!H38</f>
        <v>0</v>
      </c>
      <c r="I70" s="215">
        <f>'2сем'!I38</f>
        <v>-800.00000000000011</v>
      </c>
      <c r="J70" s="215">
        <f>'2сем'!J38</f>
        <v>1240</v>
      </c>
      <c r="K70" s="215">
        <f>'2сем'!K38</f>
        <v>0</v>
      </c>
      <c r="L70" s="215">
        <f>'2сем'!L38</f>
        <v>-800.00000000000011</v>
      </c>
      <c r="M70" s="215">
        <f>'2сем'!M38</f>
        <v>1240</v>
      </c>
      <c r="N70" s="215">
        <f>'2сем'!N38</f>
        <v>0</v>
      </c>
      <c r="O70" s="215">
        <f>'2сем'!O38</f>
        <v>-800.00000000000011</v>
      </c>
      <c r="P70" s="215">
        <f>'2сем'!P38</f>
        <v>1240</v>
      </c>
      <c r="Q70" s="215">
        <f>'2сем'!Q38</f>
        <v>0</v>
      </c>
      <c r="R70" s="215">
        <f>'2сем'!R38</f>
        <v>0</v>
      </c>
      <c r="S70" s="215">
        <f>'2сем'!S38</f>
        <v>0</v>
      </c>
      <c r="T70" s="215">
        <f>'2сем'!T38</f>
        <v>0</v>
      </c>
      <c r="U70" s="215">
        <f>'2сем'!U38</f>
        <v>0</v>
      </c>
      <c r="V70" s="215">
        <f>'2сем'!V38</f>
        <v>0</v>
      </c>
      <c r="W70" s="189">
        <f>SUM(B70:V70)</f>
        <v>1319.9999999999995</v>
      </c>
      <c r="X70" s="189">
        <f>NPV('1сел'!$X$1,B70:V70)</f>
        <v>1004.143584691761</v>
      </c>
    </row>
    <row r="71" spans="1:25" x14ac:dyDescent="0.25">
      <c r="A71" t="s">
        <v>325</v>
      </c>
      <c r="B71" s="215">
        <f>SUM(B68:B70)</f>
        <v>-7603</v>
      </c>
      <c r="C71" s="215">
        <f t="shared" ref="C71:S71" si="40">SUM(C68:C70)</f>
        <v>1325</v>
      </c>
      <c r="D71" s="215">
        <f t="shared" si="40"/>
        <v>0</v>
      </c>
      <c r="E71" s="215">
        <f t="shared" si="40"/>
        <v>0</v>
      </c>
      <c r="F71" s="215">
        <f t="shared" si="40"/>
        <v>4341</v>
      </c>
      <c r="G71" s="215">
        <f t="shared" si="40"/>
        <v>4390.7</v>
      </c>
      <c r="H71" s="215">
        <f t="shared" si="40"/>
        <v>4397</v>
      </c>
      <c r="I71" s="215">
        <f t="shared" si="40"/>
        <v>3597</v>
      </c>
      <c r="J71" s="215">
        <f t="shared" si="40"/>
        <v>3597</v>
      </c>
      <c r="K71" s="215">
        <f t="shared" si="40"/>
        <v>63897</v>
      </c>
      <c r="L71" s="215">
        <f t="shared" si="40"/>
        <v>63097</v>
      </c>
      <c r="M71" s="215">
        <f t="shared" si="40"/>
        <v>63097</v>
      </c>
      <c r="N71" s="215">
        <f t="shared" si="40"/>
        <v>62988</v>
      </c>
      <c r="O71" s="215">
        <f t="shared" si="40"/>
        <v>62188</v>
      </c>
      <c r="P71" s="215">
        <f t="shared" si="40"/>
        <v>58706.3</v>
      </c>
      <c r="Q71" s="215">
        <f t="shared" si="40"/>
        <v>59500</v>
      </c>
      <c r="R71" s="215">
        <f t="shared" si="40"/>
        <v>59500</v>
      </c>
      <c r="S71" s="215">
        <f t="shared" si="40"/>
        <v>59500</v>
      </c>
      <c r="T71" s="215">
        <f>SUM(T68:T70)</f>
        <v>0</v>
      </c>
      <c r="U71" s="215">
        <f>SUM(U68:U70)</f>
        <v>0</v>
      </c>
      <c r="V71" s="215">
        <f>SUM(V68:V70)</f>
        <v>0</v>
      </c>
      <c r="W71" s="189">
        <f>SUM(B71:V71)</f>
        <v>566518</v>
      </c>
      <c r="X71" s="277">
        <f>NPV('1сел'!$X$1,B71:V71)</f>
        <v>431410.6528711766</v>
      </c>
    </row>
    <row r="72" spans="1:25" s="264" customFormat="1" ht="12.75" x14ac:dyDescent="0.2">
      <c r="A72" s="264" t="s">
        <v>326</v>
      </c>
      <c r="B72" s="266">
        <f>B66-B71</f>
        <v>0</v>
      </c>
      <c r="C72" s="266">
        <f t="shared" ref="C72:S72" si="41">C66-C71</f>
        <v>0</v>
      </c>
      <c r="D72" s="266">
        <f t="shared" si="41"/>
        <v>0</v>
      </c>
      <c r="E72" s="266">
        <f t="shared" si="41"/>
        <v>0</v>
      </c>
      <c r="F72" s="266">
        <f t="shared" si="41"/>
        <v>0</v>
      </c>
      <c r="G72" s="266">
        <f t="shared" si="41"/>
        <v>0</v>
      </c>
      <c r="H72" s="266">
        <f t="shared" si="41"/>
        <v>0</v>
      </c>
      <c r="I72" s="266">
        <f t="shared" si="41"/>
        <v>0</v>
      </c>
      <c r="J72" s="266">
        <f t="shared" si="41"/>
        <v>0</v>
      </c>
      <c r="K72" s="266">
        <f t="shared" si="41"/>
        <v>0</v>
      </c>
      <c r="L72" s="266">
        <f t="shared" si="41"/>
        <v>0</v>
      </c>
      <c r="M72" s="266">
        <f t="shared" si="41"/>
        <v>0</v>
      </c>
      <c r="N72" s="266">
        <f t="shared" si="41"/>
        <v>0</v>
      </c>
      <c r="O72" s="266">
        <f t="shared" si="41"/>
        <v>0</v>
      </c>
      <c r="P72" s="266">
        <f t="shared" si="41"/>
        <v>0</v>
      </c>
      <c r="Q72" s="266">
        <f t="shared" si="41"/>
        <v>0</v>
      </c>
      <c r="R72" s="266">
        <f t="shared" si="41"/>
        <v>0</v>
      </c>
      <c r="S72" s="266">
        <f t="shared" si="41"/>
        <v>0</v>
      </c>
      <c r="T72" s="266">
        <f>T66-T71</f>
        <v>0</v>
      </c>
      <c r="U72" s="266">
        <f>U66-U71</f>
        <v>0</v>
      </c>
      <c r="V72" s="266">
        <f>V66-V71</f>
        <v>0</v>
      </c>
      <c r="W72" s="265"/>
      <c r="X72" s="265"/>
      <c r="Y72" s="265"/>
    </row>
    <row r="73" spans="1:25" s="72" customFormat="1" ht="11.25" x14ac:dyDescent="0.2">
      <c r="A73" s="72" t="s">
        <v>350</v>
      </c>
      <c r="B73" s="288">
        <f>(1+'1сел'!$X$1)^B$1</f>
        <v>1.02</v>
      </c>
      <c r="C73" s="288">
        <f>(1+'1сел'!$X$1)^C$1</f>
        <v>1.0404</v>
      </c>
      <c r="D73" s="288">
        <f>(1+'1сел'!$X$1)^D$1</f>
        <v>1.0612079999999999</v>
      </c>
      <c r="E73" s="288">
        <f>(1+'1сел'!$X$1)^E$1</f>
        <v>1.08243216</v>
      </c>
      <c r="F73" s="288">
        <f>(1+'1сел'!$X$1)^F$1</f>
        <v>1.1040808032</v>
      </c>
      <c r="G73" s="288">
        <f>(1+'1сел'!$X$1)^G$1</f>
        <v>1.1261624192640001</v>
      </c>
      <c r="H73" s="288">
        <f>(1+'1сел'!$X$1)^H$1</f>
        <v>1.1486856676492798</v>
      </c>
      <c r="I73" s="288">
        <f>(1+'1сел'!$X$1)^I$1</f>
        <v>1.1716593810022655</v>
      </c>
      <c r="J73" s="288">
        <f>(1+'1сел'!$X$1)^J$1</f>
        <v>1.1950925686223108</v>
      </c>
      <c r="K73" s="288">
        <f>(1+'1сел'!$X$1)^K$1</f>
        <v>1.2189944199947571</v>
      </c>
      <c r="L73" s="288">
        <f>(1+'1сел'!$X$1)^L$1</f>
        <v>1.243374308394652</v>
      </c>
      <c r="M73" s="288">
        <f>(1+'1сел'!$X$1)^M$1</f>
        <v>1.2682417945625453</v>
      </c>
      <c r="N73" s="288">
        <f>(1+'1сел'!$X$1)^N$1</f>
        <v>1.2936066304537961</v>
      </c>
      <c r="O73" s="288">
        <f>(1+'1сел'!$X$1)^O$1</f>
        <v>1.3194787630628722</v>
      </c>
      <c r="P73" s="288">
        <f>(1+'1сел'!$X$1)^P$1</f>
        <v>1.3458683383241292</v>
      </c>
      <c r="Q73" s="288">
        <f>(1+'1сел'!$X$1)^Q$1</f>
        <v>1.372785705090612</v>
      </c>
      <c r="R73" s="288">
        <f>(1+'1сел'!$X$1)^R$1</f>
        <v>1.4002414191924244</v>
      </c>
      <c r="S73" s="288">
        <f>(1+'1сел'!$X$1)^S$1</f>
        <v>1.4282462475762727</v>
      </c>
      <c r="T73" s="288">
        <f>(1+'1сел'!$X$1)^T$1</f>
        <v>1.4568111725277981</v>
      </c>
      <c r="U73" s="288">
        <f>(1+'1сел'!$X$1)^U$1</f>
        <v>1.4859473959783542</v>
      </c>
      <c r="V73" s="288">
        <f>(1+'1сел'!$X$1)^V$1</f>
        <v>1.5156663438979212</v>
      </c>
      <c r="W73" s="287"/>
      <c r="X73" s="287"/>
      <c r="Y73" s="287"/>
    </row>
    <row r="74" spans="1:25" s="264" customFormat="1" ht="12.75" x14ac:dyDescent="0.2">
      <c r="A74" s="285" t="s">
        <v>348</v>
      </c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5"/>
      <c r="X74" s="265"/>
      <c r="Y74" s="265"/>
    </row>
    <row r="75" spans="1:25" s="264" customFormat="1" ht="18.75" x14ac:dyDescent="0.3">
      <c r="A75" s="264" t="str">
        <f>A68</f>
        <v>Селекционера</v>
      </c>
      <c r="B75" s="289">
        <f>B68/B$73</f>
        <v>-7453.9215686274511</v>
      </c>
      <c r="C75" s="289">
        <f t="shared" ref="C75:T78" si="42">C68/C$73</f>
        <v>1273.5486351403306</v>
      </c>
      <c r="D75" s="289">
        <f t="shared" si="42"/>
        <v>0</v>
      </c>
      <c r="E75" s="289">
        <f t="shared" si="42"/>
        <v>0</v>
      </c>
      <c r="F75" s="289">
        <f t="shared" si="42"/>
        <v>3931.777445471665</v>
      </c>
      <c r="G75" s="289">
        <f t="shared" si="42"/>
        <v>3898.8159477649128</v>
      </c>
      <c r="H75" s="289">
        <f t="shared" si="42"/>
        <v>3827.8531053653796</v>
      </c>
      <c r="I75" s="289">
        <f t="shared" si="42"/>
        <v>3752.7971621229208</v>
      </c>
      <c r="J75" s="289">
        <f t="shared" si="42"/>
        <v>1972.232161661856</v>
      </c>
      <c r="K75" s="289">
        <f t="shared" si="42"/>
        <v>10580.032023489877</v>
      </c>
      <c r="L75" s="289">
        <f t="shared" si="42"/>
        <v>10372.580415186158</v>
      </c>
      <c r="M75" s="289">
        <f t="shared" si="42"/>
        <v>8560.6704072900429</v>
      </c>
      <c r="N75" s="289">
        <f t="shared" si="42"/>
        <v>9267.1139106597038</v>
      </c>
      <c r="O75" s="289">
        <f t="shared" si="42"/>
        <v>9085.4057947644142</v>
      </c>
      <c r="P75" s="289">
        <f t="shared" si="42"/>
        <v>4804.5561485247626</v>
      </c>
      <c r="Q75" s="289">
        <f t="shared" si="42"/>
        <v>6191.7894165709931</v>
      </c>
      <c r="R75" s="289">
        <f t="shared" si="42"/>
        <v>6070.3817809519533</v>
      </c>
      <c r="S75" s="289">
        <f t="shared" si="42"/>
        <v>5951.3546872077977</v>
      </c>
      <c r="T75" s="289">
        <f t="shared" si="42"/>
        <v>0</v>
      </c>
      <c r="U75" s="289">
        <f t="shared" ref="U75:V78" si="43">U68/U$73</f>
        <v>0</v>
      </c>
      <c r="V75" s="289">
        <f t="shared" si="43"/>
        <v>0</v>
      </c>
      <c r="W75" s="304">
        <f>SUM(B75:V75)</f>
        <v>82086.987473545305</v>
      </c>
      <c r="X75" s="265"/>
      <c r="Y75" s="265"/>
    </row>
    <row r="76" spans="1:25" s="264" customFormat="1" ht="18.75" x14ac:dyDescent="0.3">
      <c r="A76" s="264" t="str">
        <f>A69</f>
        <v>Товарное производство</v>
      </c>
      <c r="B76" s="289">
        <f>B69/B$73</f>
        <v>0</v>
      </c>
      <c r="C76" s="289">
        <f t="shared" ref="C76:Q76" si="44">C69/C$73</f>
        <v>0</v>
      </c>
      <c r="D76" s="289">
        <f t="shared" si="44"/>
        <v>0</v>
      </c>
      <c r="E76" s="289">
        <f t="shared" si="44"/>
        <v>0</v>
      </c>
      <c r="F76" s="289">
        <f t="shared" si="44"/>
        <v>0</v>
      </c>
      <c r="G76" s="289">
        <f t="shared" si="44"/>
        <v>0</v>
      </c>
      <c r="H76" s="289">
        <f t="shared" si="44"/>
        <v>0</v>
      </c>
      <c r="I76" s="289">
        <f t="shared" si="44"/>
        <v>0</v>
      </c>
      <c r="J76" s="289">
        <f t="shared" si="44"/>
        <v>0</v>
      </c>
      <c r="K76" s="289">
        <f t="shared" si="44"/>
        <v>41837.763293632917</v>
      </c>
      <c r="L76" s="289">
        <f t="shared" si="44"/>
        <v>41017.414993757775</v>
      </c>
      <c r="M76" s="289">
        <f t="shared" si="44"/>
        <v>40213.151954664478</v>
      </c>
      <c r="N76" s="289">
        <f t="shared" si="44"/>
        <v>39424.65877908282</v>
      </c>
      <c r="O76" s="289">
        <f t="shared" si="44"/>
        <v>38651.62625400276</v>
      </c>
      <c r="P76" s="289">
        <f t="shared" si="44"/>
        <v>37893.751229414484</v>
      </c>
      <c r="Q76" s="289">
        <f t="shared" si="44"/>
        <v>37150.736499425955</v>
      </c>
      <c r="R76" s="289">
        <f t="shared" si="42"/>
        <v>36422.29068571172</v>
      </c>
      <c r="S76" s="289">
        <f t="shared" si="42"/>
        <v>35708.128123246788</v>
      </c>
      <c r="T76" s="289">
        <f t="shared" si="42"/>
        <v>0</v>
      </c>
      <c r="U76" s="289">
        <f t="shared" si="43"/>
        <v>0</v>
      </c>
      <c r="V76" s="289">
        <f t="shared" si="43"/>
        <v>0</v>
      </c>
      <c r="W76" s="304">
        <f>SUM(B76:V76)</f>
        <v>348319.52181293967</v>
      </c>
      <c r="X76" s="265"/>
      <c r="Y76" s="265"/>
    </row>
    <row r="77" spans="1:25" s="264" customFormat="1" ht="18.75" x14ac:dyDescent="0.3">
      <c r="A77" s="264" t="str">
        <f>A70</f>
        <v>Семеноводство</v>
      </c>
      <c r="B77" s="289">
        <f>B70/B$73</f>
        <v>0</v>
      </c>
      <c r="C77" s="289">
        <f t="shared" si="42"/>
        <v>0</v>
      </c>
      <c r="D77" s="289">
        <f t="shared" si="42"/>
        <v>0</v>
      </c>
      <c r="E77" s="289">
        <f t="shared" si="42"/>
        <v>0</v>
      </c>
      <c r="F77" s="289">
        <f t="shared" si="42"/>
        <v>0</v>
      </c>
      <c r="G77" s="289">
        <f t="shared" si="42"/>
        <v>0</v>
      </c>
      <c r="H77" s="289">
        <f t="shared" si="42"/>
        <v>0</v>
      </c>
      <c r="I77" s="289">
        <f t="shared" si="42"/>
        <v>-682.79229695208937</v>
      </c>
      <c r="J77" s="289">
        <f t="shared" si="42"/>
        <v>1037.5765296820964</v>
      </c>
      <c r="K77" s="289">
        <f t="shared" si="42"/>
        <v>0</v>
      </c>
      <c r="L77" s="289">
        <f t="shared" si="42"/>
        <v>-643.41043127463183</v>
      </c>
      <c r="M77" s="289">
        <f t="shared" si="42"/>
        <v>977.73153772125397</v>
      </c>
      <c r="N77" s="289">
        <f t="shared" si="42"/>
        <v>0</v>
      </c>
      <c r="O77" s="289">
        <f t="shared" si="42"/>
        <v>-606.30001967063163</v>
      </c>
      <c r="P77" s="289">
        <f t="shared" si="42"/>
        <v>921.33826518576393</v>
      </c>
      <c r="Q77" s="289">
        <f t="shared" si="42"/>
        <v>0</v>
      </c>
      <c r="R77" s="289">
        <f t="shared" si="42"/>
        <v>0</v>
      </c>
      <c r="S77" s="289">
        <f t="shared" si="42"/>
        <v>0</v>
      </c>
      <c r="T77" s="289">
        <f t="shared" si="42"/>
        <v>0</v>
      </c>
      <c r="U77" s="289">
        <f t="shared" si="43"/>
        <v>0</v>
      </c>
      <c r="V77" s="289">
        <f t="shared" si="43"/>
        <v>0</v>
      </c>
      <c r="W77" s="304">
        <f>SUM(B77:V77)</f>
        <v>1004.1435846917615</v>
      </c>
      <c r="X77" s="265"/>
      <c r="Y77" s="265"/>
    </row>
    <row r="78" spans="1:25" s="264" customFormat="1" ht="18.75" x14ac:dyDescent="0.3">
      <c r="A78" s="264" t="str">
        <f>A71</f>
        <v>Сумма приростов по табл.</v>
      </c>
      <c r="B78" s="289">
        <f>B71/B$73</f>
        <v>-7453.9215686274511</v>
      </c>
      <c r="C78" s="289">
        <f t="shared" si="42"/>
        <v>1273.5486351403306</v>
      </c>
      <c r="D78" s="289">
        <f t="shared" si="42"/>
        <v>0</v>
      </c>
      <c r="E78" s="289">
        <f t="shared" si="42"/>
        <v>0</v>
      </c>
      <c r="F78" s="289">
        <f t="shared" si="42"/>
        <v>3931.777445471665</v>
      </c>
      <c r="G78" s="289">
        <f t="shared" si="42"/>
        <v>3898.8159477649128</v>
      </c>
      <c r="H78" s="289">
        <f t="shared" si="42"/>
        <v>3827.8531053653796</v>
      </c>
      <c r="I78" s="289">
        <f t="shared" si="42"/>
        <v>3070.0048651708316</v>
      </c>
      <c r="J78" s="289">
        <f t="shared" si="42"/>
        <v>3009.8086913439524</v>
      </c>
      <c r="K78" s="289">
        <f t="shared" si="42"/>
        <v>52417.7953171228</v>
      </c>
      <c r="L78" s="289">
        <f t="shared" si="42"/>
        <v>50746.584977669299</v>
      </c>
      <c r="M78" s="289">
        <f t="shared" si="42"/>
        <v>49751.553899675775</v>
      </c>
      <c r="N78" s="289">
        <f t="shared" si="42"/>
        <v>48691.772689742524</v>
      </c>
      <c r="O78" s="289">
        <f t="shared" si="42"/>
        <v>47130.732029096544</v>
      </c>
      <c r="P78" s="289">
        <f t="shared" si="42"/>
        <v>43619.645643125012</v>
      </c>
      <c r="Q78" s="289">
        <f t="shared" si="42"/>
        <v>43342.52591599695</v>
      </c>
      <c r="R78" s="289">
        <f t="shared" si="42"/>
        <v>42492.672466663673</v>
      </c>
      <c r="S78" s="289">
        <f t="shared" si="42"/>
        <v>41659.482810454589</v>
      </c>
      <c r="T78" s="289">
        <f t="shared" si="42"/>
        <v>0</v>
      </c>
      <c r="U78" s="289">
        <f t="shared" si="43"/>
        <v>0</v>
      </c>
      <c r="V78" s="289">
        <f t="shared" si="43"/>
        <v>0</v>
      </c>
      <c r="W78" s="305">
        <f>SUM(B78:V78)</f>
        <v>431410.65287117672</v>
      </c>
      <c r="X78" s="265"/>
      <c r="Y78" s="265"/>
    </row>
    <row r="79" spans="1:25" s="285" customFormat="1" ht="12.75" x14ac:dyDescent="0.2">
      <c r="A79" s="285" t="s">
        <v>349</v>
      </c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</row>
    <row r="80" spans="1:25" s="264" customFormat="1" ht="12.75" x14ac:dyDescent="0.2">
      <c r="A80" s="264" t="str">
        <f>A75</f>
        <v>Селекционера</v>
      </c>
      <c r="B80" s="289">
        <f>B75</f>
        <v>-7453.9215686274511</v>
      </c>
      <c r="C80" s="289">
        <f>B80+C75</f>
        <v>-6180.3729334871205</v>
      </c>
      <c r="D80" s="289">
        <f t="shared" ref="D80:V83" si="45">C80+D75</f>
        <v>-6180.3729334871205</v>
      </c>
      <c r="E80" s="289">
        <f t="shared" si="45"/>
        <v>-6180.3729334871205</v>
      </c>
      <c r="F80" s="289">
        <f t="shared" si="45"/>
        <v>-2248.5954880154554</v>
      </c>
      <c r="G80" s="289">
        <f t="shared" si="45"/>
        <v>1650.2204597494574</v>
      </c>
      <c r="H80" s="289">
        <f t="shared" si="45"/>
        <v>5478.073565114837</v>
      </c>
      <c r="I80" s="289">
        <f t="shared" si="45"/>
        <v>9230.8707272377578</v>
      </c>
      <c r="J80" s="289">
        <f t="shared" si="45"/>
        <v>11203.102888899613</v>
      </c>
      <c r="K80" s="289">
        <f t="shared" si="45"/>
        <v>21783.134912389491</v>
      </c>
      <c r="L80" s="289">
        <f t="shared" si="45"/>
        <v>32155.71532757565</v>
      </c>
      <c r="M80" s="289">
        <f t="shared" si="45"/>
        <v>40716.385734865689</v>
      </c>
      <c r="N80" s="289">
        <f t="shared" si="45"/>
        <v>49983.499645525393</v>
      </c>
      <c r="O80" s="289">
        <f t="shared" si="45"/>
        <v>59068.905440289804</v>
      </c>
      <c r="P80" s="289">
        <f t="shared" si="45"/>
        <v>63873.461588814564</v>
      </c>
      <c r="Q80" s="289">
        <f t="shared" si="45"/>
        <v>70065.251005385551</v>
      </c>
      <c r="R80" s="289">
        <f t="shared" si="45"/>
        <v>76135.632786337505</v>
      </c>
      <c r="S80" s="289">
        <f t="shared" si="45"/>
        <v>82086.987473545305</v>
      </c>
      <c r="T80" s="289">
        <f t="shared" si="45"/>
        <v>82086.987473545305</v>
      </c>
      <c r="U80" s="289">
        <f t="shared" si="45"/>
        <v>82086.987473545305</v>
      </c>
      <c r="V80" s="289">
        <f t="shared" si="45"/>
        <v>82086.987473545305</v>
      </c>
      <c r="W80" s="265"/>
      <c r="X80" s="265"/>
      <c r="Y80" s="265"/>
    </row>
    <row r="81" spans="1:26" s="264" customFormat="1" ht="12.75" x14ac:dyDescent="0.2">
      <c r="A81" s="264" t="str">
        <f t="shared" ref="A81:B83" si="46">A76</f>
        <v>Товарное производство</v>
      </c>
      <c r="B81" s="289">
        <f t="shared" si="46"/>
        <v>0</v>
      </c>
      <c r="C81" s="289">
        <f>B81+C76</f>
        <v>0</v>
      </c>
      <c r="D81" s="289">
        <f t="shared" ref="D81:R81" si="47">C81+D76</f>
        <v>0</v>
      </c>
      <c r="E81" s="289">
        <f t="shared" si="47"/>
        <v>0</v>
      </c>
      <c r="F81" s="289">
        <f t="shared" si="47"/>
        <v>0</v>
      </c>
      <c r="G81" s="289">
        <f t="shared" si="47"/>
        <v>0</v>
      </c>
      <c r="H81" s="289">
        <f t="shared" si="47"/>
        <v>0</v>
      </c>
      <c r="I81" s="289">
        <f t="shared" si="47"/>
        <v>0</v>
      </c>
      <c r="J81" s="289">
        <f t="shared" si="47"/>
        <v>0</v>
      </c>
      <c r="K81" s="289">
        <f t="shared" si="47"/>
        <v>41837.763293632917</v>
      </c>
      <c r="L81" s="289">
        <f t="shared" si="47"/>
        <v>82855.178287390692</v>
      </c>
      <c r="M81" s="289">
        <f t="shared" si="47"/>
        <v>123068.33024205518</v>
      </c>
      <c r="N81" s="289">
        <f t="shared" si="47"/>
        <v>162492.989021138</v>
      </c>
      <c r="O81" s="289">
        <f t="shared" si="47"/>
        <v>201144.61527514076</v>
      </c>
      <c r="P81" s="289">
        <f t="shared" si="47"/>
        <v>239038.36650455525</v>
      </c>
      <c r="Q81" s="289">
        <f t="shared" si="47"/>
        <v>276189.10300398117</v>
      </c>
      <c r="R81" s="289">
        <f t="shared" si="47"/>
        <v>312611.39368969289</v>
      </c>
      <c r="S81" s="289">
        <f t="shared" si="45"/>
        <v>348319.52181293967</v>
      </c>
      <c r="T81" s="289">
        <f t="shared" si="45"/>
        <v>348319.52181293967</v>
      </c>
      <c r="U81" s="289">
        <f t="shared" si="45"/>
        <v>348319.52181293967</v>
      </c>
      <c r="V81" s="289">
        <f t="shared" si="45"/>
        <v>348319.52181293967</v>
      </c>
      <c r="W81" s="265"/>
      <c r="X81" s="265"/>
      <c r="Y81" s="265"/>
    </row>
    <row r="82" spans="1:26" s="264" customFormat="1" ht="12.75" x14ac:dyDescent="0.2">
      <c r="A82" s="264" t="str">
        <f t="shared" si="46"/>
        <v>Семеноводство</v>
      </c>
      <c r="B82" s="289">
        <f t="shared" si="46"/>
        <v>0</v>
      </c>
      <c r="C82" s="289">
        <f>B82+C77</f>
        <v>0</v>
      </c>
      <c r="D82" s="289">
        <f t="shared" si="45"/>
        <v>0</v>
      </c>
      <c r="E82" s="289">
        <f t="shared" si="45"/>
        <v>0</v>
      </c>
      <c r="F82" s="289">
        <f t="shared" si="45"/>
        <v>0</v>
      </c>
      <c r="G82" s="289">
        <f t="shared" si="45"/>
        <v>0</v>
      </c>
      <c r="H82" s="289">
        <f t="shared" si="45"/>
        <v>0</v>
      </c>
      <c r="I82" s="289">
        <f t="shared" si="45"/>
        <v>-682.79229695208937</v>
      </c>
      <c r="J82" s="289">
        <f t="shared" si="45"/>
        <v>354.78423273000703</v>
      </c>
      <c r="K82" s="289">
        <f t="shared" si="45"/>
        <v>354.78423273000703</v>
      </c>
      <c r="L82" s="289">
        <f t="shared" si="45"/>
        <v>-288.6261985446248</v>
      </c>
      <c r="M82" s="289">
        <f t="shared" si="45"/>
        <v>689.10533917662917</v>
      </c>
      <c r="N82" s="289">
        <f t="shared" si="45"/>
        <v>689.10533917662917</v>
      </c>
      <c r="O82" s="289">
        <f t="shared" si="45"/>
        <v>82.805319505997545</v>
      </c>
      <c r="P82" s="289">
        <f t="shared" si="45"/>
        <v>1004.1435846917615</v>
      </c>
      <c r="Q82" s="289">
        <f t="shared" si="45"/>
        <v>1004.1435846917615</v>
      </c>
      <c r="R82" s="289">
        <f t="shared" si="45"/>
        <v>1004.1435846917615</v>
      </c>
      <c r="S82" s="289">
        <f t="shared" si="45"/>
        <v>1004.1435846917615</v>
      </c>
      <c r="T82" s="289">
        <f t="shared" si="45"/>
        <v>1004.1435846917615</v>
      </c>
      <c r="U82" s="289">
        <f t="shared" si="45"/>
        <v>1004.1435846917615</v>
      </c>
      <c r="V82" s="289">
        <f t="shared" si="45"/>
        <v>1004.1435846917615</v>
      </c>
      <c r="W82" s="265"/>
      <c r="X82" s="265"/>
      <c r="Y82" s="265"/>
    </row>
    <row r="83" spans="1:26" s="264" customFormat="1" ht="12.75" x14ac:dyDescent="0.2">
      <c r="A83" s="264" t="str">
        <f t="shared" si="46"/>
        <v>Сумма приростов по табл.</v>
      </c>
      <c r="B83" s="289">
        <f t="shared" si="46"/>
        <v>-7453.9215686274511</v>
      </c>
      <c r="C83" s="289">
        <f>B83+C78</f>
        <v>-6180.3729334871205</v>
      </c>
      <c r="D83" s="289">
        <f t="shared" si="45"/>
        <v>-6180.3729334871205</v>
      </c>
      <c r="E83" s="289">
        <f t="shared" si="45"/>
        <v>-6180.3729334871205</v>
      </c>
      <c r="F83" s="289">
        <f t="shared" si="45"/>
        <v>-2248.5954880154554</v>
      </c>
      <c r="G83" s="289">
        <f t="shared" si="45"/>
        <v>1650.2204597494574</v>
      </c>
      <c r="H83" s="289">
        <f t="shared" si="45"/>
        <v>5478.073565114837</v>
      </c>
      <c r="I83" s="289">
        <f t="shared" si="45"/>
        <v>8548.0784302856682</v>
      </c>
      <c r="J83" s="289">
        <f t="shared" si="45"/>
        <v>11557.887121629621</v>
      </c>
      <c r="K83" s="289">
        <f t="shared" si="45"/>
        <v>63975.682438752425</v>
      </c>
      <c r="L83" s="289">
        <f t="shared" si="45"/>
        <v>114722.26741642173</v>
      </c>
      <c r="M83" s="289">
        <f t="shared" si="45"/>
        <v>164473.82131609751</v>
      </c>
      <c r="N83" s="289">
        <f t="shared" si="45"/>
        <v>213165.59400584004</v>
      </c>
      <c r="O83" s="289">
        <f t="shared" si="45"/>
        <v>260296.32603493659</v>
      </c>
      <c r="P83" s="289">
        <f t="shared" si="45"/>
        <v>303915.97167806159</v>
      </c>
      <c r="Q83" s="289">
        <f t="shared" si="45"/>
        <v>347258.49759405851</v>
      </c>
      <c r="R83" s="289">
        <f t="shared" si="45"/>
        <v>389751.17006072216</v>
      </c>
      <c r="S83" s="289">
        <f t="shared" si="45"/>
        <v>431410.65287117672</v>
      </c>
      <c r="T83" s="289">
        <f t="shared" si="45"/>
        <v>431410.65287117672</v>
      </c>
      <c r="U83" s="289">
        <f t="shared" si="45"/>
        <v>431410.65287117672</v>
      </c>
      <c r="V83" s="289">
        <f t="shared" si="45"/>
        <v>431410.65287117672</v>
      </c>
      <c r="W83" s="265"/>
      <c r="X83" s="265"/>
      <c r="Y83" s="265"/>
    </row>
    <row r="84" spans="1:26" s="188" customFormat="1" x14ac:dyDescent="0.25">
      <c r="A84" s="188" t="s">
        <v>351</v>
      </c>
      <c r="B84" s="47"/>
      <c r="C84" s="47"/>
      <c r="D84" s="47"/>
      <c r="E84" s="47"/>
      <c r="F84" s="198"/>
      <c r="I84" s="198"/>
      <c r="N84" s="198"/>
    </row>
    <row r="85" spans="1:26" x14ac:dyDescent="0.25">
      <c r="A85" t="str">
        <f>A63</f>
        <v>Селекционера</v>
      </c>
      <c r="B85" s="64">
        <f>IF(AND(B80&lt;0,C80&gt;0),B$1+(-B80/(-B80+C80)),0)</f>
        <v>0</v>
      </c>
      <c r="C85" s="64">
        <f t="shared" ref="C85:S88" si="48">IF(AND(C80&lt;0,D80&gt;0),C$1+(-C80/(-C80+D80)),0)</f>
        <v>0</v>
      </c>
      <c r="D85" s="64">
        <f t="shared" si="48"/>
        <v>0</v>
      </c>
      <c r="E85" s="64">
        <f t="shared" si="48"/>
        <v>0</v>
      </c>
      <c r="F85" s="64">
        <f t="shared" si="48"/>
        <v>5.5767380451248325</v>
      </c>
      <c r="G85" s="64">
        <f t="shared" si="48"/>
        <v>0</v>
      </c>
      <c r="H85" s="64">
        <f t="shared" si="48"/>
        <v>0</v>
      </c>
      <c r="I85" s="64">
        <f t="shared" si="48"/>
        <v>0</v>
      </c>
      <c r="J85" s="64">
        <f t="shared" si="48"/>
        <v>0</v>
      </c>
      <c r="K85" s="64">
        <f t="shared" si="48"/>
        <v>0</v>
      </c>
      <c r="L85" s="64">
        <f t="shared" si="48"/>
        <v>0</v>
      </c>
      <c r="M85" s="64">
        <f t="shared" si="48"/>
        <v>0</v>
      </c>
      <c r="N85" s="64">
        <f t="shared" si="48"/>
        <v>0</v>
      </c>
      <c r="O85" s="64">
        <f t="shared" si="48"/>
        <v>0</v>
      </c>
      <c r="P85" s="64">
        <f t="shared" si="48"/>
        <v>0</v>
      </c>
      <c r="Q85" s="64">
        <f t="shared" si="48"/>
        <v>0</v>
      </c>
      <c r="R85" s="64">
        <f t="shared" si="48"/>
        <v>0</v>
      </c>
      <c r="S85" s="64">
        <f t="shared" si="48"/>
        <v>0</v>
      </c>
      <c r="T85" s="64">
        <f t="shared" ref="T85:V88" si="49">IF(AND(T80&lt;0,V80&gt;0),T$1+(-T80/(-T80+V80)),0)</f>
        <v>0</v>
      </c>
      <c r="U85" s="64">
        <f t="shared" si="49"/>
        <v>0</v>
      </c>
      <c r="V85" s="64">
        <f t="shared" si="49"/>
        <v>0</v>
      </c>
      <c r="W85" s="279" t="s">
        <v>346</v>
      </c>
      <c r="X85" s="280">
        <f>MAX(B85:V85)</f>
        <v>5.5767380451248325</v>
      </c>
      <c r="Y85" s="588" t="s">
        <v>370</v>
      </c>
      <c r="Z85" s="588"/>
    </row>
    <row r="86" spans="1:26" x14ac:dyDescent="0.25">
      <c r="A86" t="str">
        <f>A64</f>
        <v>Товарное производство</v>
      </c>
      <c r="B86" s="64">
        <f>IF(AND(B81&lt;0,C81&gt;0),B$1+(-B81/(-B81+C81)),0)</f>
        <v>0</v>
      </c>
      <c r="C86" s="64">
        <f t="shared" ref="C86:Q86" si="50">IF(AND(C81&lt;0,D81&gt;0),C$1+(-C81/(-C81+D81)),0)</f>
        <v>0</v>
      </c>
      <c r="D86" s="64">
        <f t="shared" si="50"/>
        <v>0</v>
      </c>
      <c r="E86" s="64">
        <f t="shared" si="50"/>
        <v>0</v>
      </c>
      <c r="F86" s="64">
        <f t="shared" si="50"/>
        <v>0</v>
      </c>
      <c r="G86" s="64">
        <f t="shared" si="50"/>
        <v>0</v>
      </c>
      <c r="H86" s="64">
        <f t="shared" si="50"/>
        <v>0</v>
      </c>
      <c r="I86" s="64">
        <f t="shared" si="50"/>
        <v>0</v>
      </c>
      <c r="J86" s="64">
        <f t="shared" si="50"/>
        <v>0</v>
      </c>
      <c r="K86" s="64">
        <f t="shared" si="50"/>
        <v>0</v>
      </c>
      <c r="L86" s="64">
        <f t="shared" si="50"/>
        <v>0</v>
      </c>
      <c r="M86" s="64">
        <f t="shared" si="50"/>
        <v>0</v>
      </c>
      <c r="N86" s="64">
        <f t="shared" si="50"/>
        <v>0</v>
      </c>
      <c r="O86" s="64">
        <f t="shared" si="50"/>
        <v>0</v>
      </c>
      <c r="P86" s="64">
        <f t="shared" si="50"/>
        <v>0</v>
      </c>
      <c r="Q86" s="64">
        <f t="shared" si="50"/>
        <v>0</v>
      </c>
      <c r="R86" s="64">
        <f t="shared" si="48"/>
        <v>0</v>
      </c>
      <c r="S86" s="64">
        <f t="shared" si="48"/>
        <v>0</v>
      </c>
      <c r="T86" s="64">
        <f t="shared" si="49"/>
        <v>0</v>
      </c>
      <c r="U86" s="64">
        <f t="shared" si="49"/>
        <v>0</v>
      </c>
      <c r="V86" s="64">
        <f t="shared" si="49"/>
        <v>0</v>
      </c>
      <c r="W86" s="279" t="s">
        <v>346</v>
      </c>
      <c r="X86" s="280">
        <f>MAX(B86:V86)</f>
        <v>0</v>
      </c>
      <c r="Y86" s="588"/>
      <c r="Z86" s="588"/>
    </row>
    <row r="87" spans="1:26" x14ac:dyDescent="0.25">
      <c r="A87" t="str">
        <f>A65</f>
        <v>Семеноводство</v>
      </c>
      <c r="B87" s="64">
        <f>IF(AND(B82&lt;0,C82&gt;0),B$1+(-B82/(-B82+C82)),0)</f>
        <v>0</v>
      </c>
      <c r="C87" s="64">
        <f t="shared" si="48"/>
        <v>0</v>
      </c>
      <c r="D87" s="64">
        <f t="shared" si="48"/>
        <v>0</v>
      </c>
      <c r="E87" s="64">
        <f t="shared" si="48"/>
        <v>0</v>
      </c>
      <c r="F87" s="64">
        <f t="shared" si="48"/>
        <v>0</v>
      </c>
      <c r="G87" s="64">
        <f t="shared" si="48"/>
        <v>0</v>
      </c>
      <c r="H87" s="64">
        <f t="shared" si="48"/>
        <v>0</v>
      </c>
      <c r="I87" s="64">
        <f t="shared" si="48"/>
        <v>8.6580645161290324</v>
      </c>
      <c r="J87" s="64">
        <f t="shared" si="48"/>
        <v>0</v>
      </c>
      <c r="K87" s="64">
        <f t="shared" si="48"/>
        <v>0</v>
      </c>
      <c r="L87" s="64">
        <f t="shared" si="48"/>
        <v>11.29519984516129</v>
      </c>
      <c r="M87" s="64">
        <f t="shared" si="48"/>
        <v>0</v>
      </c>
      <c r="N87" s="64">
        <f t="shared" si="48"/>
        <v>0</v>
      </c>
      <c r="O87" s="64">
        <f t="shared" si="48"/>
        <v>0</v>
      </c>
      <c r="P87" s="64">
        <f t="shared" si="48"/>
        <v>0</v>
      </c>
      <c r="Q87" s="64">
        <f t="shared" si="48"/>
        <v>0</v>
      </c>
      <c r="R87" s="64">
        <f t="shared" si="48"/>
        <v>0</v>
      </c>
      <c r="S87" s="64">
        <f t="shared" si="48"/>
        <v>0</v>
      </c>
      <c r="T87" s="64">
        <f t="shared" si="49"/>
        <v>0</v>
      </c>
      <c r="U87" s="64">
        <f t="shared" si="49"/>
        <v>0</v>
      </c>
      <c r="V87" s="64">
        <f t="shared" si="49"/>
        <v>0</v>
      </c>
      <c r="W87" s="279" t="s">
        <v>346</v>
      </c>
      <c r="X87" s="290">
        <f>MAX(B87:V87)</f>
        <v>11.29519984516129</v>
      </c>
      <c r="Y87" s="588"/>
      <c r="Z87" s="588"/>
    </row>
    <row r="88" spans="1:26" x14ac:dyDescent="0.25">
      <c r="A88" t="s">
        <v>327</v>
      </c>
      <c r="B88" s="64">
        <f>IF(AND(B83&lt;0,C83&gt;0),B$1+(-B83/(-B83+C83)),0)</f>
        <v>0</v>
      </c>
      <c r="C88" s="64">
        <f t="shared" si="48"/>
        <v>0</v>
      </c>
      <c r="D88" s="64">
        <f t="shared" si="48"/>
        <v>0</v>
      </c>
      <c r="E88" s="64">
        <f t="shared" si="48"/>
        <v>0</v>
      </c>
      <c r="F88" s="64">
        <f t="shared" si="48"/>
        <v>5.5767380451248325</v>
      </c>
      <c r="G88" s="64">
        <f t="shared" si="48"/>
        <v>0</v>
      </c>
      <c r="H88" s="64">
        <f t="shared" si="48"/>
        <v>0</v>
      </c>
      <c r="I88" s="64">
        <f t="shared" si="48"/>
        <v>0</v>
      </c>
      <c r="J88" s="64">
        <f t="shared" si="48"/>
        <v>0</v>
      </c>
      <c r="K88" s="64">
        <f t="shared" si="48"/>
        <v>0</v>
      </c>
      <c r="L88" s="64">
        <f t="shared" si="48"/>
        <v>0</v>
      </c>
      <c r="M88" s="64">
        <f t="shared" si="48"/>
        <v>0</v>
      </c>
      <c r="N88" s="64">
        <f t="shared" si="48"/>
        <v>0</v>
      </c>
      <c r="O88" s="64">
        <f t="shared" si="48"/>
        <v>0</v>
      </c>
      <c r="P88" s="64">
        <f t="shared" si="48"/>
        <v>0</v>
      </c>
      <c r="Q88" s="64">
        <f t="shared" si="48"/>
        <v>0</v>
      </c>
      <c r="R88" s="64">
        <f t="shared" si="48"/>
        <v>0</v>
      </c>
      <c r="S88" s="64">
        <f t="shared" si="48"/>
        <v>0</v>
      </c>
      <c r="T88" s="64">
        <f t="shared" si="49"/>
        <v>0</v>
      </c>
      <c r="U88" s="64">
        <f t="shared" si="49"/>
        <v>0</v>
      </c>
      <c r="V88" s="64">
        <f t="shared" si="49"/>
        <v>0</v>
      </c>
      <c r="W88" s="279" t="s">
        <v>346</v>
      </c>
      <c r="X88" s="280">
        <f>MAX(B88:V88)</f>
        <v>5.5767380451248325</v>
      </c>
      <c r="Y88" s="588"/>
      <c r="Z88" s="588"/>
    </row>
    <row r="89" spans="1:26" s="47" customFormat="1" ht="15.75" thickBot="1" x14ac:dyDescent="0.3">
      <c r="A89" s="47" t="s">
        <v>352</v>
      </c>
      <c r="F89" s="145"/>
      <c r="I89" s="145"/>
      <c r="N89" s="145"/>
    </row>
    <row r="90" spans="1:26" ht="15.75" thickBot="1" x14ac:dyDescent="0.3">
      <c r="A90" t="s">
        <v>320</v>
      </c>
      <c r="B90" s="589" t="s">
        <v>353</v>
      </c>
      <c r="C90" s="589"/>
      <c r="D90" s="589"/>
      <c r="E90" s="589"/>
      <c r="F90" s="589"/>
      <c r="G90" s="589"/>
      <c r="H90" s="589"/>
      <c r="I90" s="589"/>
      <c r="J90" s="589"/>
      <c r="K90" s="589"/>
      <c r="L90" s="589"/>
      <c r="M90" s="589"/>
      <c r="N90" s="590" t="s">
        <v>354</v>
      </c>
      <c r="O90" s="590"/>
      <c r="P90" s="291" t="s">
        <v>355</v>
      </c>
      <c r="Q90" s="291"/>
      <c r="R90" s="591" t="s">
        <v>356</v>
      </c>
      <c r="S90" s="591"/>
      <c r="T90" s="583" t="s">
        <v>283</v>
      </c>
      <c r="U90" s="584"/>
      <c r="V90" s="584"/>
    </row>
    <row r="91" spans="1:26" ht="15.75" thickBot="1" x14ac:dyDescent="0.3">
      <c r="A91" t="s">
        <v>336</v>
      </c>
      <c r="B91" s="583" t="s">
        <v>363</v>
      </c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584"/>
      <c r="Q91" s="584"/>
      <c r="R91" s="584"/>
      <c r="S91" s="585"/>
    </row>
    <row r="92" spans="1:26" x14ac:dyDescent="0.25">
      <c r="A92" t="s">
        <v>322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T92" s="577" t="s">
        <v>365</v>
      </c>
      <c r="U92" s="577"/>
      <c r="V92" s="577"/>
    </row>
    <row r="93" spans="1:26" x14ac:dyDescent="0.25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</row>
    <row r="94" spans="1:26" ht="14.45" customHeight="1" thickBot="1" x14ac:dyDescent="0.3">
      <c r="A94" s="47" t="s">
        <v>357</v>
      </c>
      <c r="B94" s="299"/>
      <c r="C94" s="299"/>
      <c r="D94" s="299"/>
      <c r="E94" s="299"/>
      <c r="F94" s="299"/>
      <c r="G94" s="299"/>
      <c r="H94" s="299"/>
      <c r="I94" s="299"/>
      <c r="J94" s="299"/>
      <c r="K94" s="94"/>
      <c r="L94" s="297"/>
      <c r="M94" s="297"/>
      <c r="N94" s="297"/>
      <c r="O94" s="297"/>
      <c r="P94" s="298"/>
      <c r="Q94" s="298"/>
      <c r="R94" s="298"/>
      <c r="S94" s="298"/>
      <c r="T94" s="298"/>
      <c r="U94" s="298"/>
      <c r="V94" s="298"/>
    </row>
    <row r="95" spans="1:26" s="292" customFormat="1" ht="48.75" thickBot="1" x14ac:dyDescent="0.3">
      <c r="A95" s="292" t="s">
        <v>320</v>
      </c>
      <c r="B95" s="293" t="s">
        <v>358</v>
      </c>
      <c r="C95" s="294" t="s">
        <v>97</v>
      </c>
      <c r="D95" s="578" t="s">
        <v>359</v>
      </c>
      <c r="E95" s="578"/>
      <c r="F95" s="296" t="s">
        <v>360</v>
      </c>
      <c r="G95" s="579" t="s">
        <v>361</v>
      </c>
      <c r="H95" s="579"/>
      <c r="I95" s="580" t="s">
        <v>362</v>
      </c>
      <c r="J95" s="580"/>
      <c r="K95" s="581" t="s">
        <v>283</v>
      </c>
      <c r="L95" s="582"/>
      <c r="M95" s="582"/>
      <c r="N95" s="582"/>
      <c r="O95" s="582"/>
      <c r="P95" s="582"/>
      <c r="Q95" s="582"/>
      <c r="R95" s="582"/>
      <c r="S95" s="582"/>
      <c r="T95" s="582"/>
      <c r="U95" s="582"/>
      <c r="V95" s="582"/>
      <c r="W95" s="295"/>
      <c r="X95" s="295"/>
      <c r="Y95" s="295"/>
    </row>
    <row r="96" spans="1:26" ht="15.75" thickBot="1" x14ac:dyDescent="0.3">
      <c r="A96" t="str">
        <f>A91</f>
        <v>Товарное овощеводство</v>
      </c>
      <c r="B96" s="583" t="s">
        <v>363</v>
      </c>
      <c r="C96" s="584"/>
      <c r="D96" s="584"/>
      <c r="E96" s="584"/>
      <c r="F96" s="584"/>
      <c r="G96" s="584"/>
      <c r="H96" s="584"/>
      <c r="I96" s="584"/>
      <c r="J96" s="585"/>
      <c r="K96" s="586" t="s">
        <v>364</v>
      </c>
      <c r="L96" s="587"/>
      <c r="M96" s="587"/>
      <c r="N96" s="587"/>
      <c r="O96" s="587"/>
      <c r="P96" s="587"/>
      <c r="Q96" s="587"/>
      <c r="R96" s="587"/>
      <c r="S96" s="587"/>
      <c r="T96" s="587"/>
      <c r="U96" s="587"/>
      <c r="V96" s="587"/>
    </row>
    <row r="97" spans="1:25" x14ac:dyDescent="0.25">
      <c r="A97" t="s">
        <v>322</v>
      </c>
      <c r="K97" s="577" t="s">
        <v>365</v>
      </c>
      <c r="L97" s="577"/>
      <c r="M97" s="577"/>
      <c r="N97" s="577"/>
      <c r="O97" s="577"/>
      <c r="P97" s="577"/>
      <c r="Q97" s="577"/>
      <c r="R97" s="577"/>
      <c r="S97" s="577"/>
      <c r="T97" s="577"/>
      <c r="U97" s="577"/>
      <c r="V97" s="577"/>
    </row>
    <row r="98" spans="1:25" s="94" customFormat="1" x14ac:dyDescent="0.25">
      <c r="W98" s="118"/>
      <c r="X98" s="118"/>
      <c r="Y98" s="118"/>
    </row>
    <row r="99" spans="1:25" s="94" customFormat="1" x14ac:dyDescent="0.25">
      <c r="A99" s="301" t="s">
        <v>369</v>
      </c>
      <c r="B99" s="302">
        <f>B52</f>
        <v>-12000</v>
      </c>
      <c r="C99" s="302">
        <f t="shared" ref="C99:V99" si="51">C52</f>
        <v>-15072</v>
      </c>
      <c r="D99" s="302">
        <f t="shared" si="51"/>
        <v>-19469</v>
      </c>
      <c r="E99" s="302">
        <f t="shared" si="51"/>
        <v>-23866</v>
      </c>
      <c r="F99" s="302">
        <f t="shared" si="51"/>
        <v>-23922</v>
      </c>
      <c r="G99" s="302">
        <f t="shared" si="51"/>
        <v>-23928.3</v>
      </c>
      <c r="H99" s="302">
        <f t="shared" si="51"/>
        <v>-23928.3</v>
      </c>
      <c r="I99" s="302">
        <f t="shared" si="51"/>
        <v>-23928.3</v>
      </c>
      <c r="J99" s="302">
        <f t="shared" si="51"/>
        <v>-25968.3</v>
      </c>
      <c r="K99" s="302">
        <f t="shared" si="51"/>
        <v>-17468.3</v>
      </c>
      <c r="L99" s="302">
        <f t="shared" si="51"/>
        <v>-8968.2999999999993</v>
      </c>
      <c r="M99" s="302">
        <f t="shared" si="51"/>
        <v>-2508.2999999999993</v>
      </c>
      <c r="N99" s="302">
        <f t="shared" si="51"/>
        <v>5991.7000000000007</v>
      </c>
      <c r="O99" s="302">
        <f t="shared" si="51"/>
        <v>14491.7</v>
      </c>
      <c r="P99" s="302">
        <f t="shared" si="51"/>
        <v>20951.7</v>
      </c>
      <c r="Q99" s="302">
        <f t="shared" si="51"/>
        <v>29451.7</v>
      </c>
      <c r="R99" s="302">
        <f t="shared" si="51"/>
        <v>37951.699999999997</v>
      </c>
      <c r="S99" s="302">
        <f t="shared" si="51"/>
        <v>44411.7</v>
      </c>
      <c r="T99" s="302">
        <f t="shared" si="51"/>
        <v>52911.7</v>
      </c>
      <c r="U99" s="302"/>
      <c r="V99" s="302">
        <f t="shared" si="51"/>
        <v>69911.7</v>
      </c>
      <c r="W99" s="118"/>
      <c r="X99" s="118"/>
      <c r="Y99" s="118"/>
    </row>
    <row r="100" spans="1:25" s="94" customFormat="1" x14ac:dyDescent="0.25">
      <c r="A100" s="300" t="s">
        <v>368</v>
      </c>
      <c r="B100" s="303">
        <f>B23</f>
        <v>-4397</v>
      </c>
      <c r="C100" s="303">
        <f t="shared" ref="C100:V100" si="52">C23</f>
        <v>-8794</v>
      </c>
      <c r="D100" s="303">
        <f t="shared" si="52"/>
        <v>-13191</v>
      </c>
      <c r="E100" s="303">
        <f t="shared" si="52"/>
        <v>-17588</v>
      </c>
      <c r="F100" s="303">
        <f t="shared" si="52"/>
        <v>-21985</v>
      </c>
      <c r="G100" s="303">
        <f t="shared" si="52"/>
        <v>-26382</v>
      </c>
      <c r="H100" s="303">
        <f t="shared" si="52"/>
        <v>-30779</v>
      </c>
      <c r="I100" s="303">
        <f t="shared" si="52"/>
        <v>-35176</v>
      </c>
      <c r="J100" s="303">
        <f t="shared" si="52"/>
        <v>-39573</v>
      </c>
      <c r="K100" s="303">
        <f t="shared" si="52"/>
        <v>-43970</v>
      </c>
      <c r="L100" s="303">
        <f t="shared" si="52"/>
        <v>-48367</v>
      </c>
      <c r="M100" s="303">
        <f t="shared" si="52"/>
        <v>-52764</v>
      </c>
      <c r="N100" s="303">
        <f t="shared" si="52"/>
        <v>-56252</v>
      </c>
      <c r="O100" s="303">
        <f t="shared" si="52"/>
        <v>-59740</v>
      </c>
      <c r="P100" s="303">
        <f t="shared" si="52"/>
        <v>-59746.3</v>
      </c>
      <c r="Q100" s="303">
        <f t="shared" si="52"/>
        <v>-59746.3</v>
      </c>
      <c r="R100" s="303">
        <f t="shared" si="52"/>
        <v>-59746.3</v>
      </c>
      <c r="S100" s="303">
        <f t="shared" si="52"/>
        <v>-61786.3</v>
      </c>
      <c r="T100" s="303">
        <f t="shared" si="52"/>
        <v>-53286.3</v>
      </c>
      <c r="U100" s="303"/>
      <c r="V100" s="303">
        <f t="shared" si="52"/>
        <v>-36286.300000000003</v>
      </c>
      <c r="W100" s="118"/>
      <c r="X100" s="118"/>
      <c r="Y100" s="118"/>
    </row>
    <row r="101" spans="1:25" s="94" customFormat="1" x14ac:dyDescent="0.25">
      <c r="W101" s="118"/>
      <c r="X101" s="118"/>
      <c r="Y101" s="118"/>
    </row>
    <row r="102" spans="1:25" s="94" customFormat="1" x14ac:dyDescent="0.25">
      <c r="A102" s="222" t="s">
        <v>367</v>
      </c>
      <c r="B102" s="118">
        <f>8500+8500+(8500-2000)</f>
        <v>23500</v>
      </c>
      <c r="W102" s="118"/>
      <c r="X102" s="118"/>
      <c r="Y102" s="118"/>
    </row>
    <row r="103" spans="1:25" s="94" customFormat="1" x14ac:dyDescent="0.25">
      <c r="A103" s="405" t="s">
        <v>406</v>
      </c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08"/>
      <c r="X103" s="408"/>
    </row>
    <row r="104" spans="1:25" s="94" customFormat="1" x14ac:dyDescent="0.25">
      <c r="A104" s="405" t="s">
        <v>407</v>
      </c>
      <c r="B104" s="408">
        <v>0</v>
      </c>
      <c r="C104" s="408">
        <f>B104+1</f>
        <v>1</v>
      </c>
      <c r="D104" s="408">
        <f t="shared" ref="D104:W104" si="53">C104+1</f>
        <v>2</v>
      </c>
      <c r="E104" s="408">
        <f t="shared" si="53"/>
        <v>3</v>
      </c>
      <c r="F104" s="408">
        <f t="shared" si="53"/>
        <v>4</v>
      </c>
      <c r="G104" s="408">
        <f t="shared" si="53"/>
        <v>5</v>
      </c>
      <c r="H104" s="408">
        <f t="shared" si="53"/>
        <v>6</v>
      </c>
      <c r="I104" s="408">
        <f t="shared" si="53"/>
        <v>7</v>
      </c>
      <c r="J104" s="408">
        <f t="shared" si="53"/>
        <v>8</v>
      </c>
      <c r="K104" s="408">
        <f t="shared" si="53"/>
        <v>9</v>
      </c>
      <c r="L104" s="408">
        <f t="shared" si="53"/>
        <v>10</v>
      </c>
      <c r="M104" s="408">
        <f t="shared" si="53"/>
        <v>11</v>
      </c>
      <c r="N104" s="408">
        <f t="shared" si="53"/>
        <v>12</v>
      </c>
      <c r="O104" s="408">
        <f t="shared" si="53"/>
        <v>13</v>
      </c>
      <c r="P104" s="408">
        <f t="shared" si="53"/>
        <v>14</v>
      </c>
      <c r="Q104" s="408">
        <f t="shared" si="53"/>
        <v>15</v>
      </c>
      <c r="R104" s="408">
        <f t="shared" si="53"/>
        <v>16</v>
      </c>
      <c r="S104" s="408">
        <f t="shared" si="53"/>
        <v>17</v>
      </c>
      <c r="T104" s="408">
        <f t="shared" si="53"/>
        <v>18</v>
      </c>
      <c r="U104" s="408">
        <f t="shared" si="53"/>
        <v>19</v>
      </c>
      <c r="V104" s="408">
        <f t="shared" si="53"/>
        <v>20</v>
      </c>
      <c r="W104" s="408">
        <f t="shared" si="53"/>
        <v>21</v>
      </c>
      <c r="X104" s="408"/>
    </row>
    <row r="105" spans="1:25" s="94" customFormat="1" x14ac:dyDescent="0.25">
      <c r="A105" s="405"/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10"/>
      <c r="M105" s="410"/>
      <c r="N105" s="410"/>
      <c r="O105" s="410"/>
      <c r="P105" s="410"/>
      <c r="Q105" s="410"/>
      <c r="R105" s="410"/>
      <c r="S105" s="410"/>
      <c r="T105" s="410"/>
      <c r="U105" s="410"/>
      <c r="V105" s="410"/>
      <c r="W105" s="408"/>
      <c r="X105" s="408"/>
    </row>
    <row r="106" spans="1:25" s="410" customFormat="1" ht="12" x14ac:dyDescent="0.2">
      <c r="A106" s="410" t="s">
        <v>408</v>
      </c>
      <c r="B106" s="412">
        <f>B34</f>
        <v>947000</v>
      </c>
      <c r="C106" s="412">
        <f t="shared" ref="C106:V106" si="54">C34</f>
        <v>938072</v>
      </c>
      <c r="D106" s="412">
        <f t="shared" si="54"/>
        <v>939397</v>
      </c>
      <c r="E106" s="412">
        <f t="shared" si="54"/>
        <v>939397</v>
      </c>
      <c r="F106" s="412">
        <f t="shared" si="54"/>
        <v>935056</v>
      </c>
      <c r="G106" s="412">
        <f t="shared" si="54"/>
        <v>935006.3</v>
      </c>
      <c r="H106" s="412">
        <f t="shared" si="54"/>
        <v>935000</v>
      </c>
      <c r="I106" s="412">
        <f t="shared" si="54"/>
        <v>935800</v>
      </c>
      <c r="J106" s="412">
        <f t="shared" si="54"/>
        <v>937840</v>
      </c>
      <c r="K106" s="412">
        <f t="shared" si="54"/>
        <v>884000</v>
      </c>
      <c r="L106" s="412">
        <f t="shared" si="54"/>
        <v>884800</v>
      </c>
      <c r="M106" s="412">
        <f t="shared" si="54"/>
        <v>886840</v>
      </c>
      <c r="N106" s="412">
        <f t="shared" si="54"/>
        <v>884000</v>
      </c>
      <c r="O106" s="412">
        <f t="shared" si="54"/>
        <v>884800</v>
      </c>
      <c r="P106" s="412">
        <f t="shared" si="54"/>
        <v>886840</v>
      </c>
      <c r="Q106" s="412">
        <f t="shared" si="54"/>
        <v>884000</v>
      </c>
      <c r="R106" s="412">
        <f t="shared" si="54"/>
        <v>884800</v>
      </c>
      <c r="S106" s="412">
        <f t="shared" si="54"/>
        <v>886840</v>
      </c>
      <c r="T106" s="412">
        <f t="shared" si="54"/>
        <v>884000</v>
      </c>
      <c r="U106" s="412">
        <f t="shared" si="54"/>
        <v>884000</v>
      </c>
      <c r="V106" s="412">
        <f t="shared" si="54"/>
        <v>884000</v>
      </c>
      <c r="W106" s="414" t="s">
        <v>82</v>
      </c>
      <c r="X106" s="413">
        <f>SUM(B106:W106)</f>
        <v>19061488.300000001</v>
      </c>
    </row>
    <row r="107" spans="1:25" s="410" customFormat="1" ht="12" x14ac:dyDescent="0.2">
      <c r="A107" s="410" t="s">
        <v>409</v>
      </c>
      <c r="C107" s="412">
        <f>B39</f>
        <v>2805000</v>
      </c>
      <c r="D107" s="412">
        <f t="shared" ref="D107:V107" si="55">C39</f>
        <v>2805000</v>
      </c>
      <c r="E107" s="412">
        <f t="shared" si="55"/>
        <v>2805000</v>
      </c>
      <c r="F107" s="412">
        <f t="shared" si="55"/>
        <v>2805000</v>
      </c>
      <c r="G107" s="412">
        <f t="shared" si="55"/>
        <v>2805000</v>
      </c>
      <c r="H107" s="412">
        <f t="shared" si="55"/>
        <v>2805000</v>
      </c>
      <c r="I107" s="412">
        <f t="shared" si="55"/>
        <v>2805000</v>
      </c>
      <c r="J107" s="412">
        <f t="shared" si="55"/>
        <v>2805000</v>
      </c>
      <c r="K107" s="412">
        <f t="shared" si="55"/>
        <v>2807040</v>
      </c>
      <c r="L107" s="412">
        <f t="shared" si="55"/>
        <v>2813500</v>
      </c>
      <c r="M107" s="412">
        <f t="shared" si="55"/>
        <v>2813500</v>
      </c>
      <c r="N107" s="412">
        <f t="shared" si="55"/>
        <v>2815540</v>
      </c>
      <c r="O107" s="412">
        <f t="shared" si="55"/>
        <v>2813500</v>
      </c>
      <c r="P107" s="412">
        <f t="shared" si="55"/>
        <v>2813500</v>
      </c>
      <c r="Q107" s="412">
        <f t="shared" si="55"/>
        <v>2815540</v>
      </c>
      <c r="R107" s="412">
        <f t="shared" si="55"/>
        <v>2813500</v>
      </c>
      <c r="S107" s="412">
        <f t="shared" si="55"/>
        <v>2813500</v>
      </c>
      <c r="T107" s="412">
        <f t="shared" si="55"/>
        <v>2815540</v>
      </c>
      <c r="U107" s="412">
        <f t="shared" si="55"/>
        <v>2813500</v>
      </c>
      <c r="V107" s="412">
        <f t="shared" si="55"/>
        <v>2813500</v>
      </c>
      <c r="W107" s="413">
        <f>V88</f>
        <v>0</v>
      </c>
      <c r="X107" s="413">
        <f>SUM(B107:W107)</f>
        <v>56201660</v>
      </c>
    </row>
    <row r="108" spans="1:25" s="411" customFormat="1" ht="11.25" x14ac:dyDescent="0.2">
      <c r="A108" s="411" t="s">
        <v>410</v>
      </c>
      <c r="B108" s="412">
        <f>B107-B106</f>
        <v>-947000</v>
      </c>
      <c r="C108" s="412">
        <f t="shared" ref="C108:V108" si="56">C107-C106</f>
        <v>1866928</v>
      </c>
      <c r="D108" s="412">
        <f t="shared" si="56"/>
        <v>1865603</v>
      </c>
      <c r="E108" s="412">
        <f t="shared" si="56"/>
        <v>1865603</v>
      </c>
      <c r="F108" s="412">
        <f t="shared" si="56"/>
        <v>1869944</v>
      </c>
      <c r="G108" s="412">
        <f t="shared" si="56"/>
        <v>1869993.7</v>
      </c>
      <c r="H108" s="412">
        <f t="shared" si="56"/>
        <v>1870000</v>
      </c>
      <c r="I108" s="412">
        <f t="shared" si="56"/>
        <v>1869200</v>
      </c>
      <c r="J108" s="412">
        <f t="shared" si="56"/>
        <v>1867160</v>
      </c>
      <c r="K108" s="412">
        <f t="shared" si="56"/>
        <v>1923040</v>
      </c>
      <c r="L108" s="412">
        <f t="shared" si="56"/>
        <v>1928700</v>
      </c>
      <c r="M108" s="412">
        <f t="shared" si="56"/>
        <v>1926660</v>
      </c>
      <c r="N108" s="412">
        <f t="shared" si="56"/>
        <v>1931540</v>
      </c>
      <c r="O108" s="412">
        <f t="shared" si="56"/>
        <v>1928700</v>
      </c>
      <c r="P108" s="412">
        <f t="shared" si="56"/>
        <v>1926660</v>
      </c>
      <c r="Q108" s="412">
        <f t="shared" si="56"/>
        <v>1931540</v>
      </c>
      <c r="R108" s="412">
        <f t="shared" si="56"/>
        <v>1928700</v>
      </c>
      <c r="S108" s="412">
        <f t="shared" si="56"/>
        <v>1926660</v>
      </c>
      <c r="T108" s="412">
        <f t="shared" si="56"/>
        <v>1931540</v>
      </c>
      <c r="U108" s="412">
        <f t="shared" si="56"/>
        <v>1929500</v>
      </c>
      <c r="V108" s="412">
        <f t="shared" si="56"/>
        <v>1929500</v>
      </c>
      <c r="W108" s="412">
        <v>0</v>
      </c>
      <c r="X108" s="412">
        <f>SUM(B108:W108)</f>
        <v>37140171.700000003</v>
      </c>
    </row>
    <row r="109" spans="1:25" s="417" customFormat="1" ht="9" x14ac:dyDescent="0.15">
      <c r="A109" s="417" t="s">
        <v>41</v>
      </c>
      <c r="B109" s="416">
        <f>B108</f>
        <v>-947000</v>
      </c>
      <c r="C109" s="416">
        <f>B109+C108</f>
        <v>919928</v>
      </c>
      <c r="D109" s="416">
        <f t="shared" ref="D109:W109" si="57">C109+D108</f>
        <v>2785531</v>
      </c>
      <c r="E109" s="416">
        <f t="shared" si="57"/>
        <v>4651134</v>
      </c>
      <c r="F109" s="416">
        <f t="shared" si="57"/>
        <v>6521078</v>
      </c>
      <c r="G109" s="416">
        <f t="shared" si="57"/>
        <v>8391071.6999999993</v>
      </c>
      <c r="H109" s="416">
        <f t="shared" si="57"/>
        <v>10261071.699999999</v>
      </c>
      <c r="I109" s="416">
        <f t="shared" si="57"/>
        <v>12130271.699999999</v>
      </c>
      <c r="J109" s="416">
        <f t="shared" si="57"/>
        <v>13997431.699999999</v>
      </c>
      <c r="K109" s="416">
        <f t="shared" si="57"/>
        <v>15920471.699999999</v>
      </c>
      <c r="L109" s="416">
        <f t="shared" si="57"/>
        <v>17849171.699999999</v>
      </c>
      <c r="M109" s="416">
        <f t="shared" si="57"/>
        <v>19775831.699999999</v>
      </c>
      <c r="N109" s="416">
        <f t="shared" si="57"/>
        <v>21707371.699999999</v>
      </c>
      <c r="O109" s="416">
        <f t="shared" si="57"/>
        <v>23636071.699999999</v>
      </c>
      <c r="P109" s="416">
        <f t="shared" si="57"/>
        <v>25562731.699999999</v>
      </c>
      <c r="Q109" s="416">
        <f t="shared" si="57"/>
        <v>27494271.699999999</v>
      </c>
      <c r="R109" s="416">
        <f t="shared" si="57"/>
        <v>29422971.699999999</v>
      </c>
      <c r="S109" s="416">
        <f t="shared" si="57"/>
        <v>31349631.699999999</v>
      </c>
      <c r="T109" s="416">
        <f t="shared" si="57"/>
        <v>33281171.699999999</v>
      </c>
      <c r="U109" s="416">
        <f t="shared" si="57"/>
        <v>35210671.700000003</v>
      </c>
      <c r="V109" s="416">
        <f t="shared" si="57"/>
        <v>37140171.700000003</v>
      </c>
      <c r="W109" s="416">
        <f t="shared" si="57"/>
        <v>37140171.700000003</v>
      </c>
    </row>
    <row r="110" spans="1:25" s="409" customFormat="1" ht="11.25" x14ac:dyDescent="0.2">
      <c r="B110" s="409">
        <f>IF($C$111=B109,B104,0)</f>
        <v>0</v>
      </c>
      <c r="C110" s="409">
        <f t="shared" ref="C110:V110" si="58">IF($C$111=C109,C104,0)</f>
        <v>0</v>
      </c>
      <c r="D110" s="409">
        <f t="shared" si="58"/>
        <v>0</v>
      </c>
      <c r="E110" s="409">
        <f t="shared" si="58"/>
        <v>0</v>
      </c>
      <c r="F110" s="409">
        <f t="shared" si="58"/>
        <v>0</v>
      </c>
      <c r="G110" s="409">
        <f t="shared" si="58"/>
        <v>0</v>
      </c>
      <c r="H110" s="409">
        <f t="shared" si="58"/>
        <v>0</v>
      </c>
      <c r="I110" s="409">
        <f t="shared" si="58"/>
        <v>0</v>
      </c>
      <c r="J110" s="409">
        <f t="shared" si="58"/>
        <v>0</v>
      </c>
      <c r="K110" s="409">
        <f t="shared" si="58"/>
        <v>0</v>
      </c>
      <c r="L110" s="409">
        <f t="shared" si="58"/>
        <v>0</v>
      </c>
      <c r="M110" s="409">
        <f t="shared" si="58"/>
        <v>0</v>
      </c>
      <c r="N110" s="409">
        <f t="shared" si="58"/>
        <v>0</v>
      </c>
      <c r="O110" s="409">
        <f t="shared" si="58"/>
        <v>0</v>
      </c>
      <c r="P110" s="409">
        <f t="shared" si="58"/>
        <v>0</v>
      </c>
      <c r="Q110" s="409">
        <f t="shared" si="58"/>
        <v>0</v>
      </c>
      <c r="R110" s="409">
        <f t="shared" si="58"/>
        <v>0</v>
      </c>
      <c r="S110" s="409">
        <f t="shared" si="58"/>
        <v>0</v>
      </c>
      <c r="T110" s="409">
        <f t="shared" si="58"/>
        <v>0</v>
      </c>
      <c r="U110" s="409">
        <f t="shared" si="58"/>
        <v>0</v>
      </c>
      <c r="V110" s="409">
        <f t="shared" si="58"/>
        <v>0</v>
      </c>
      <c r="W110" s="409">
        <f>IF($C$52=W109,W$3,0)</f>
        <v>0</v>
      </c>
    </row>
    <row r="111" spans="1:25" s="410" customFormat="1" ht="12" x14ac:dyDescent="0.2">
      <c r="A111" s="410" t="s">
        <v>411</v>
      </c>
      <c r="C111" s="416">
        <f>MIN(B109:W109)</f>
        <v>-947000</v>
      </c>
      <c r="E111" s="410" t="s">
        <v>413</v>
      </c>
      <c r="G111" s="410">
        <f>MAX(B110:W110)</f>
        <v>0</v>
      </c>
      <c r="H111" s="410" t="s">
        <v>414</v>
      </c>
    </row>
    <row r="112" spans="1:25" s="410" customFormat="1" ht="12" x14ac:dyDescent="0.2">
      <c r="A112" s="410" t="s">
        <v>412</v>
      </c>
      <c r="C112" s="410">
        <f>-C111*1.2</f>
        <v>1136400</v>
      </c>
      <c r="E112" s="410" t="s">
        <v>415</v>
      </c>
    </row>
    <row r="113" spans="23:25" s="94" customFormat="1" x14ac:dyDescent="0.25">
      <c r="W113" s="118"/>
      <c r="X113" s="118"/>
      <c r="Y113" s="118"/>
    </row>
    <row r="114" spans="23:25" s="94" customFormat="1" x14ac:dyDescent="0.25">
      <c r="W114" s="118"/>
      <c r="X114" s="118"/>
      <c r="Y114" s="118"/>
    </row>
    <row r="115" spans="23:25" s="94" customFormat="1" x14ac:dyDescent="0.25">
      <c r="W115" s="118"/>
      <c r="X115" s="118"/>
      <c r="Y115" s="118"/>
    </row>
    <row r="116" spans="23:25" s="94" customFormat="1" x14ac:dyDescent="0.25">
      <c r="W116" s="118"/>
      <c r="X116" s="118"/>
      <c r="Y116" s="118"/>
    </row>
    <row r="117" spans="23:25" s="94" customFormat="1" x14ac:dyDescent="0.25">
      <c r="W117" s="118"/>
      <c r="X117" s="118"/>
      <c r="Y117" s="118"/>
    </row>
    <row r="118" spans="23:25" s="94" customFormat="1" x14ac:dyDescent="0.25">
      <c r="W118" s="118"/>
      <c r="X118" s="118"/>
      <c r="Y118" s="118"/>
    </row>
    <row r="119" spans="23:25" s="94" customFormat="1" x14ac:dyDescent="0.25">
      <c r="W119" s="118"/>
      <c r="X119" s="118"/>
      <c r="Y119" s="118"/>
    </row>
    <row r="120" spans="23:25" s="94" customFormat="1" x14ac:dyDescent="0.25">
      <c r="W120" s="118"/>
      <c r="X120" s="118"/>
      <c r="Y120" s="118"/>
    </row>
    <row r="121" spans="23:25" s="94" customFormat="1" x14ac:dyDescent="0.25">
      <c r="W121" s="118"/>
      <c r="X121" s="118"/>
      <c r="Y121" s="118"/>
    </row>
    <row r="122" spans="23:25" s="94" customFormat="1" x14ac:dyDescent="0.25">
      <c r="W122" s="118"/>
      <c r="X122" s="118"/>
      <c r="Y122" s="118"/>
    </row>
    <row r="123" spans="23:25" s="94" customFormat="1" x14ac:dyDescent="0.25">
      <c r="W123" s="118"/>
      <c r="X123" s="118"/>
      <c r="Y123" s="118"/>
    </row>
    <row r="124" spans="23:25" s="94" customFormat="1" x14ac:dyDescent="0.25">
      <c r="W124" s="118"/>
      <c r="X124" s="118"/>
      <c r="Y124" s="118"/>
    </row>
    <row r="125" spans="23:25" s="94" customFormat="1" x14ac:dyDescent="0.25">
      <c r="W125" s="118"/>
      <c r="X125" s="118"/>
      <c r="Y125" s="118"/>
    </row>
    <row r="126" spans="23:25" s="94" customFormat="1" x14ac:dyDescent="0.25">
      <c r="W126" s="118"/>
      <c r="X126" s="118"/>
      <c r="Y126" s="118"/>
    </row>
    <row r="127" spans="23:25" s="94" customFormat="1" x14ac:dyDescent="0.25">
      <c r="W127" s="118"/>
      <c r="X127" s="118"/>
      <c r="Y127" s="118"/>
    </row>
    <row r="128" spans="23:25" s="94" customFormat="1" x14ac:dyDescent="0.25">
      <c r="W128" s="118"/>
      <c r="X128" s="118"/>
      <c r="Y128" s="118"/>
    </row>
  </sheetData>
  <mergeCells count="14">
    <mergeCell ref="Y85:Z88"/>
    <mergeCell ref="B96:J96"/>
    <mergeCell ref="K96:V96"/>
    <mergeCell ref="T92:V92"/>
    <mergeCell ref="K97:V97"/>
    <mergeCell ref="T90:V90"/>
    <mergeCell ref="G95:H95"/>
    <mergeCell ref="I95:J95"/>
    <mergeCell ref="K95:V95"/>
    <mergeCell ref="B91:S91"/>
    <mergeCell ref="B90:M90"/>
    <mergeCell ref="N90:O90"/>
    <mergeCell ref="R90:S90"/>
    <mergeCell ref="D95:E9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workbookViewId="0">
      <selection sqref="A1:XFD1048576"/>
    </sheetView>
  </sheetViews>
  <sheetFormatPr defaultRowHeight="15" x14ac:dyDescent="0.25"/>
  <cols>
    <col min="1" max="1" width="26" customWidth="1"/>
    <col min="2" max="2" width="6.28515625" customWidth="1"/>
    <col min="3" max="3" width="7.7109375" customWidth="1"/>
    <col min="4" max="4" width="6.85546875" bestFit="1" customWidth="1"/>
    <col min="5" max="5" width="7.7109375" customWidth="1"/>
    <col min="6" max="6" width="7.7109375" style="146" customWidth="1"/>
    <col min="7" max="8" width="7.7109375" customWidth="1"/>
    <col min="9" max="9" width="7.7109375" style="146" customWidth="1"/>
    <col min="10" max="13" width="7.7109375" customWidth="1"/>
    <col min="14" max="14" width="7.7109375" style="146" customWidth="1"/>
    <col min="15" max="21" width="7.7109375" customWidth="1"/>
    <col min="22" max="22" width="8.7109375" customWidth="1"/>
    <col min="23" max="23" width="9.5703125" style="188" bestFit="1" customWidth="1"/>
    <col min="24" max="24" width="12.5703125" style="188" customWidth="1"/>
    <col min="25" max="25" width="8.85546875" style="188"/>
  </cols>
  <sheetData>
    <row r="1" spans="1:25" x14ac:dyDescent="0.25">
      <c r="A1" s="418" t="s">
        <v>418</v>
      </c>
      <c r="B1" s="418"/>
      <c r="C1" s="418"/>
      <c r="D1" s="418"/>
      <c r="E1" s="418"/>
      <c r="F1" s="418"/>
      <c r="G1" s="418"/>
      <c r="H1" s="418"/>
      <c r="I1" s="121" t="s">
        <v>416</v>
      </c>
      <c r="J1" s="420">
        <v>1</v>
      </c>
      <c r="K1" t="s">
        <v>417</v>
      </c>
      <c r="L1" s="422">
        <f>W79</f>
        <v>431410.65287117672</v>
      </c>
    </row>
    <row r="2" spans="1:25" x14ac:dyDescent="0.25">
      <c r="B2">
        <v>1</v>
      </c>
      <c r="C2">
        <f>B2+1</f>
        <v>2</v>
      </c>
      <c r="D2">
        <f t="shared" ref="D2:V2" si="0">C2+1</f>
        <v>3</v>
      </c>
      <c r="E2">
        <f t="shared" si="0"/>
        <v>4</v>
      </c>
      <c r="F2" s="146">
        <f t="shared" si="0"/>
        <v>5</v>
      </c>
      <c r="G2" s="146">
        <f t="shared" si="0"/>
        <v>6</v>
      </c>
      <c r="H2" s="146">
        <f t="shared" si="0"/>
        <v>7</v>
      </c>
      <c r="I2" s="146">
        <f t="shared" si="0"/>
        <v>8</v>
      </c>
      <c r="J2" s="146">
        <f t="shared" si="0"/>
        <v>9</v>
      </c>
      <c r="K2" s="146">
        <f t="shared" si="0"/>
        <v>10</v>
      </c>
      <c r="L2" s="146">
        <f t="shared" si="0"/>
        <v>11</v>
      </c>
      <c r="M2" s="146">
        <f t="shared" si="0"/>
        <v>12</v>
      </c>
      <c r="N2" s="146">
        <f t="shared" si="0"/>
        <v>13</v>
      </c>
      <c r="O2" s="146">
        <f t="shared" si="0"/>
        <v>14</v>
      </c>
      <c r="P2" s="146">
        <f t="shared" si="0"/>
        <v>15</v>
      </c>
      <c r="Q2" s="146">
        <f t="shared" si="0"/>
        <v>16</v>
      </c>
      <c r="R2" s="146">
        <f t="shared" si="0"/>
        <v>17</v>
      </c>
      <c r="S2" s="146">
        <f t="shared" si="0"/>
        <v>18</v>
      </c>
      <c r="T2" s="146">
        <f t="shared" si="0"/>
        <v>19</v>
      </c>
      <c r="U2" s="146">
        <f t="shared" si="0"/>
        <v>20</v>
      </c>
      <c r="V2" s="146">
        <f t="shared" si="0"/>
        <v>21</v>
      </c>
      <c r="W2" s="188" t="s">
        <v>258</v>
      </c>
      <c r="X2" s="188" t="s">
        <v>40</v>
      </c>
    </row>
    <row r="3" spans="1:25" ht="18.75" x14ac:dyDescent="0.3">
      <c r="A3" s="262" t="s">
        <v>262</v>
      </c>
      <c r="B3" s="262"/>
      <c r="C3" s="262"/>
      <c r="D3" s="262"/>
      <c r="E3" s="262"/>
    </row>
    <row r="4" spans="1:25" x14ac:dyDescent="0.25">
      <c r="A4" s="244" t="s">
        <v>259</v>
      </c>
      <c r="B4" s="261">
        <f>'1сел'!B5+'1сел'!B6+'1сел'!B7+'1сел'!B10</f>
        <v>4397</v>
      </c>
      <c r="C4" s="261">
        <f>'1сел'!C5+'1сел'!C6+'1сел'!C7+'1сел'!C10</f>
        <v>4397</v>
      </c>
      <c r="D4" s="261">
        <f>'1сел'!D5+'1сел'!D6+'1сел'!D7+'1сел'!D10</f>
        <v>4397</v>
      </c>
      <c r="E4" s="261">
        <f>'1сел'!E5+'1сел'!E6+'1сел'!E7+'1сел'!E10</f>
        <v>4397</v>
      </c>
      <c r="F4" s="261">
        <f>'1сел'!F5+'1сел'!F6+'1сел'!F7+'1сел'!F10</f>
        <v>4397</v>
      </c>
      <c r="G4" s="261">
        <f>'1сел'!G5+'1сел'!G6+'1сел'!G7+'1сел'!G10</f>
        <v>4397</v>
      </c>
      <c r="H4" s="261">
        <f>'1сел'!H5+'1сел'!H6+'1сел'!H7+'1сел'!H10</f>
        <v>4397</v>
      </c>
      <c r="I4" s="261">
        <f>'1сел'!I5+'1сел'!I6+'1сел'!I7+'1сел'!I10</f>
        <v>4397</v>
      </c>
      <c r="J4" s="261">
        <f>'1сел'!J5+'1сел'!J6+'1сел'!J7+'1сел'!J10</f>
        <v>4397</v>
      </c>
      <c r="K4" s="261">
        <f>'1сел'!K5+'1сел'!K6+'1сел'!K7+'1сел'!K10</f>
        <v>4397</v>
      </c>
      <c r="L4" s="261">
        <f>'1сел'!L5+'1сел'!L6+'1сел'!L7+'1сел'!L10</f>
        <v>4397</v>
      </c>
      <c r="M4" s="261">
        <f>'1сел'!M5+'1сел'!M6+'1сел'!M7+'1сел'!M10</f>
        <v>4397</v>
      </c>
      <c r="N4" s="261">
        <f>'1сел'!N5+'1сел'!N6+'1сел'!N7+'1сел'!N10</f>
        <v>3488</v>
      </c>
      <c r="O4" s="261">
        <f>'1сел'!O5+'1сел'!O6+'1сел'!O7+'1сел'!O10</f>
        <v>3488</v>
      </c>
      <c r="P4" s="261">
        <f>'1сел'!P5+'1сел'!P6+'1сел'!P7+'1сел'!P10</f>
        <v>6.3</v>
      </c>
      <c r="Q4" s="261">
        <f>'1сел'!Q5+'1сел'!Q6+'1сел'!Q7+'1сел'!Q10</f>
        <v>0</v>
      </c>
      <c r="R4" s="261">
        <f>'1сел'!R5+'1сел'!R6+'1сел'!R7+'1сел'!R10</f>
        <v>0</v>
      </c>
      <c r="S4" s="261">
        <f>'1сел'!S5+'1сел'!S6+'1сел'!S7+'1сел'!S10</f>
        <v>2040</v>
      </c>
      <c r="T4" s="261">
        <f>'1сел'!T5+'1сел'!T6+'1сел'!T7+'1сел'!T10</f>
        <v>0</v>
      </c>
      <c r="U4" s="261">
        <f>'1сел'!U5+'1сел'!U6+'1сел'!U7+'1сел'!U10</f>
        <v>0</v>
      </c>
      <c r="V4" s="261">
        <f>'1сел'!V5+'1сел'!V6+'1сел'!V7+'1сел'!V10</f>
        <v>0</v>
      </c>
      <c r="W4" s="199">
        <f t="shared" ref="W4:W22" si="1">SUM(B4:V4)</f>
        <v>61786.3</v>
      </c>
      <c r="X4" s="189">
        <f>NPV('1сел'!$X$1,B4:V4)</f>
        <v>53272.586999344836</v>
      </c>
    </row>
    <row r="5" spans="1:25" x14ac:dyDescent="0.25">
      <c r="A5" s="244" t="s">
        <v>261</v>
      </c>
      <c r="B5" s="58">
        <f>('3товар'!B4+'3товар'!B5)*1000</f>
        <v>935000</v>
      </c>
      <c r="C5" s="58">
        <f>('3товар'!C4+'3товар'!C5)*1000</f>
        <v>935000</v>
      </c>
      <c r="D5" s="58">
        <f>('3товар'!D4+'3товар'!D5)*1000</f>
        <v>935000</v>
      </c>
      <c r="E5" s="58">
        <f>('3товар'!E4+'3товар'!E5)*1000</f>
        <v>935000</v>
      </c>
      <c r="F5" s="251">
        <f>('3товар'!F4+'3товар'!F5)*1000</f>
        <v>935000</v>
      </c>
      <c r="G5" s="58">
        <f>('3товар'!G4+'3товар'!G5)*1000</f>
        <v>935000</v>
      </c>
      <c r="H5" s="58">
        <f>('3товар'!H4+'3товар'!H5)*1000</f>
        <v>935000</v>
      </c>
      <c r="I5" s="251">
        <f>('3товар'!I4+'3товар'!I5)*1000</f>
        <v>935000</v>
      </c>
      <c r="J5" s="58">
        <f>('3товар'!J4+'3товар'!J5)*1000</f>
        <v>935000</v>
      </c>
      <c r="K5" s="58">
        <f>('3товар'!K4+'3товар'!K5)*1000</f>
        <v>935000</v>
      </c>
      <c r="L5" s="58">
        <f>('3товар'!L4+'3товар'!L5)*1000</f>
        <v>935000</v>
      </c>
      <c r="M5" s="58">
        <f>('3товар'!M4+'3товар'!M5)*1000</f>
        <v>935000</v>
      </c>
      <c r="N5" s="251">
        <f>('3товар'!N4+'3товар'!N5)*1000</f>
        <v>935000</v>
      </c>
      <c r="O5" s="58">
        <f>('3товар'!O4+'3товар'!O5)*1000</f>
        <v>935000</v>
      </c>
      <c r="P5" s="58">
        <f>('3товар'!P4+'3товар'!P5)*1000</f>
        <v>935000</v>
      </c>
      <c r="Q5" s="58">
        <f>('3товар'!Q4+'3товар'!Q5)*1000</f>
        <v>935000</v>
      </c>
      <c r="R5" s="58">
        <f>('3товар'!R4+'3товар'!R5)*1000</f>
        <v>935000</v>
      </c>
      <c r="S5" s="58">
        <f>('3товар'!S4+'3товар'!S5)*1000</f>
        <v>935000</v>
      </c>
      <c r="T5" s="58">
        <f>('3товар'!T4+'3товар'!T5)*1000</f>
        <v>884000</v>
      </c>
      <c r="U5" s="58">
        <f>('3товар'!U4+'3товар'!U5)*1000</f>
        <v>884000</v>
      </c>
      <c r="V5" s="58">
        <f>('3товар'!V4+'3товар'!V5)*1000</f>
        <v>884000</v>
      </c>
      <c r="W5" s="199">
        <f t="shared" si="1"/>
        <v>19482000</v>
      </c>
      <c r="X5" s="189">
        <f>NPV('1сел'!$X$1,B5:V5)</f>
        <v>15802502.492488489</v>
      </c>
    </row>
    <row r="6" spans="1:25" x14ac:dyDescent="0.25">
      <c r="A6" s="244" t="s">
        <v>260</v>
      </c>
      <c r="B6" s="247">
        <f>('2сем'!B4+'2сем'!B9+'2сем'!B10)</f>
        <v>0</v>
      </c>
      <c r="C6" s="247">
        <f>('2сем'!C4+'2сем'!C9+'2сем'!C10)</f>
        <v>0</v>
      </c>
      <c r="D6" s="247">
        <f>('2сем'!D4+'2сем'!D9+'2сем'!D10)</f>
        <v>0</v>
      </c>
      <c r="E6" s="247">
        <f>('2сем'!E4+'2сем'!E9+'2сем'!E10)</f>
        <v>0</v>
      </c>
      <c r="F6" s="253">
        <f>('2сем'!F4+'2сем'!F9+'2сем'!F10)</f>
        <v>0</v>
      </c>
      <c r="G6" s="247">
        <f>('2сем'!G4+'2сем'!G9+'2сем'!G10)</f>
        <v>0</v>
      </c>
      <c r="H6" s="247">
        <f>('2сем'!H4+'2сем'!H9+'2сем'!H10)</f>
        <v>0</v>
      </c>
      <c r="I6" s="253">
        <f>('2сем'!I4+'2сем'!I9+'2сем'!I10)</f>
        <v>0</v>
      </c>
      <c r="J6" s="247">
        <f>('2сем'!J4+'2сем'!J9+'2сем'!J10)</f>
        <v>0</v>
      </c>
      <c r="K6" s="247">
        <f>('2сем'!K4+'2сем'!K9+'2сем'!K10)</f>
        <v>0</v>
      </c>
      <c r="L6" s="247">
        <f>('2сем'!L4+'2сем'!L9+'2сем'!L10)</f>
        <v>0</v>
      </c>
      <c r="M6" s="247">
        <f>('2сем'!M4+'2сем'!M9+'2сем'!M10)</f>
        <v>0</v>
      </c>
      <c r="N6" s="253">
        <f>('2сем'!N4+'2сем'!N9+'2сем'!N10)</f>
        <v>0</v>
      </c>
      <c r="O6" s="247">
        <f>('2сем'!O4+'2сем'!O9+'2сем'!O10)</f>
        <v>0</v>
      </c>
      <c r="P6" s="247">
        <f>('2сем'!P4+'2сем'!P9+'2сем'!P10)</f>
        <v>0</v>
      </c>
      <c r="Q6" s="247">
        <f>('2сем'!Q4+'2сем'!Q9+'2сем'!Q10)</f>
        <v>0</v>
      </c>
      <c r="R6" s="247">
        <f>('2сем'!R4+'2сем'!R9+'2сем'!R10)</f>
        <v>800.00000000000011</v>
      </c>
      <c r="S6" s="247">
        <f>('2сем'!S4+'2сем'!S9+'2сем'!S10)</f>
        <v>800.00000000000011</v>
      </c>
      <c r="T6" s="247">
        <f>('2сем'!T4+'2сем'!T9+'2сем'!T10)</f>
        <v>0</v>
      </c>
      <c r="U6" s="247">
        <f>('2сем'!U4+'2сем'!U9+'2сем'!U10)</f>
        <v>0</v>
      </c>
      <c r="V6" s="247">
        <f>('2сем'!V4+'2сем'!V9+'2сем'!V10)</f>
        <v>0</v>
      </c>
      <c r="W6" s="199">
        <f t="shared" si="1"/>
        <v>1600.0000000000002</v>
      </c>
      <c r="X6" s="189">
        <f>NPV('1сел'!$X$1,B6:V6)</f>
        <v>1131.457549944447</v>
      </c>
    </row>
    <row r="7" spans="1:25" s="37" customFormat="1" ht="12.75" x14ac:dyDescent="0.2">
      <c r="A7" s="40" t="s">
        <v>263</v>
      </c>
      <c r="B7" s="40">
        <f>SUM(B4:B6)</f>
        <v>939397</v>
      </c>
      <c r="C7" s="40">
        <f t="shared" ref="C7:V7" si="2">SUM(C4:C6)</f>
        <v>939397</v>
      </c>
      <c r="D7" s="40">
        <f t="shared" si="2"/>
        <v>939397</v>
      </c>
      <c r="E7" s="40">
        <f t="shared" si="2"/>
        <v>939397</v>
      </c>
      <c r="F7" s="252">
        <f t="shared" si="2"/>
        <v>939397</v>
      </c>
      <c r="G7" s="40">
        <f t="shared" si="2"/>
        <v>939397</v>
      </c>
      <c r="H7" s="40">
        <f t="shared" si="2"/>
        <v>939397</v>
      </c>
      <c r="I7" s="252">
        <f t="shared" si="2"/>
        <v>939397</v>
      </c>
      <c r="J7" s="40">
        <f t="shared" si="2"/>
        <v>939397</v>
      </c>
      <c r="K7" s="40">
        <f t="shared" si="2"/>
        <v>939397</v>
      </c>
      <c r="L7" s="40">
        <f t="shared" si="2"/>
        <v>939397</v>
      </c>
      <c r="M7" s="40">
        <f t="shared" si="2"/>
        <v>939397</v>
      </c>
      <c r="N7" s="252">
        <f t="shared" si="2"/>
        <v>938488</v>
      </c>
      <c r="O7" s="40">
        <f t="shared" si="2"/>
        <v>938488</v>
      </c>
      <c r="P7" s="40">
        <f t="shared" si="2"/>
        <v>935006.3</v>
      </c>
      <c r="Q7" s="40">
        <f t="shared" si="2"/>
        <v>935000</v>
      </c>
      <c r="R7" s="40">
        <f t="shared" si="2"/>
        <v>935800</v>
      </c>
      <c r="S7" s="40">
        <f t="shared" si="2"/>
        <v>937840</v>
      </c>
      <c r="T7" s="40">
        <f t="shared" si="2"/>
        <v>884000</v>
      </c>
      <c r="U7" s="40">
        <f t="shared" si="2"/>
        <v>884000</v>
      </c>
      <c r="V7" s="40">
        <f t="shared" si="2"/>
        <v>884000</v>
      </c>
      <c r="W7" s="200">
        <f t="shared" si="1"/>
        <v>19545386.300000001</v>
      </c>
      <c r="X7" s="189">
        <f>NPV('1сел'!$X$1,B7:V7)</f>
        <v>15856906.537037784</v>
      </c>
      <c r="Y7" s="193"/>
    </row>
    <row r="8" spans="1:25" x14ac:dyDescent="0.25">
      <c r="A8" s="201" t="s">
        <v>264</v>
      </c>
      <c r="W8" s="189">
        <f t="shared" si="1"/>
        <v>0</v>
      </c>
      <c r="X8" s="189">
        <f>NPV('1сел'!$X$1,B8:V8)</f>
        <v>0</v>
      </c>
    </row>
    <row r="9" spans="1:25" x14ac:dyDescent="0.25">
      <c r="A9" s="191" t="s">
        <v>265</v>
      </c>
      <c r="B9" s="215">
        <f>'1сел'!B11</f>
        <v>0</v>
      </c>
      <c r="C9" s="215">
        <f>'1сел'!C11</f>
        <v>0</v>
      </c>
      <c r="D9" s="215">
        <f>'1сел'!D11</f>
        <v>0</v>
      </c>
      <c r="E9" s="215">
        <f>'1сел'!E11</f>
        <v>0</v>
      </c>
      <c r="F9" s="254">
        <f>'1сел'!F11</f>
        <v>0</v>
      </c>
      <c r="G9" s="215">
        <f>'1сел'!G11</f>
        <v>0</v>
      </c>
      <c r="H9" s="215">
        <f>'1сел'!H11</f>
        <v>0</v>
      </c>
      <c r="I9" s="254">
        <f>'1сел'!I11</f>
        <v>0</v>
      </c>
      <c r="J9" s="215">
        <f>'1сел'!J11</f>
        <v>0</v>
      </c>
      <c r="K9" s="215">
        <f>'1сел'!K11</f>
        <v>0</v>
      </c>
      <c r="L9" s="215">
        <f>'1сел'!L11</f>
        <v>0</v>
      </c>
      <c r="M9" s="215">
        <f>'1сел'!M11</f>
        <v>0</v>
      </c>
      <c r="N9" s="254">
        <f>'1сел'!N11</f>
        <v>0</v>
      </c>
      <c r="O9" s="215">
        <f>'1сел'!O11</f>
        <v>0</v>
      </c>
      <c r="P9" s="215">
        <f>'1сел'!P11</f>
        <v>0</v>
      </c>
      <c r="Q9" s="215">
        <f>'1сел'!Q11</f>
        <v>0</v>
      </c>
      <c r="R9" s="215">
        <f>'1сел'!R11</f>
        <v>0</v>
      </c>
      <c r="S9" s="215">
        <f>'1сел'!S11</f>
        <v>0</v>
      </c>
      <c r="T9" s="215">
        <f>'1сел'!T11</f>
        <v>8500</v>
      </c>
      <c r="U9" s="215">
        <f>'1сел'!U11</f>
        <v>8500</v>
      </c>
      <c r="V9" s="215">
        <f>'1сел'!V11</f>
        <v>8500</v>
      </c>
      <c r="W9" s="189">
        <f t="shared" si="1"/>
        <v>25500</v>
      </c>
      <c r="X9" s="189">
        <f>NPV('1сел'!$X$1,B9:V9)</f>
        <v>17163.012232032492</v>
      </c>
    </row>
    <row r="10" spans="1:25" x14ac:dyDescent="0.25">
      <c r="A10" s="191" t="s">
        <v>267</v>
      </c>
      <c r="B10" s="245">
        <f>'3товар'!B6*1000</f>
        <v>2805000</v>
      </c>
      <c r="C10" s="245">
        <f>'3товар'!C6*1000</f>
        <v>2805000</v>
      </c>
      <c r="D10" s="245">
        <f>'3товар'!D6*1000</f>
        <v>2805000</v>
      </c>
      <c r="E10" s="245">
        <f>'3товар'!E6*1000</f>
        <v>2805000</v>
      </c>
      <c r="F10" s="255">
        <f>'3товар'!F6*1000</f>
        <v>2805000</v>
      </c>
      <c r="G10" s="245">
        <f>'3товар'!G6*1000</f>
        <v>2805000</v>
      </c>
      <c r="H10" s="245">
        <f>'3товар'!H6*1000</f>
        <v>2805000</v>
      </c>
      <c r="I10" s="255">
        <f>'3товар'!I6*1000</f>
        <v>2805000</v>
      </c>
      <c r="J10" s="245">
        <f>'3товар'!J6*1000</f>
        <v>2805000</v>
      </c>
      <c r="K10" s="245">
        <f>'3товар'!K6*1000</f>
        <v>2805000</v>
      </c>
      <c r="L10" s="245">
        <f>'3товар'!L6*1000</f>
        <v>2805000</v>
      </c>
      <c r="M10" s="245">
        <f>'3товар'!M6*1000</f>
        <v>2805000</v>
      </c>
      <c r="N10" s="255">
        <f>'3товар'!N6*1000</f>
        <v>2805000</v>
      </c>
      <c r="O10" s="245">
        <f>'3товар'!O6*1000</f>
        <v>2805000</v>
      </c>
      <c r="P10" s="245">
        <f>'3товар'!P6*1000</f>
        <v>2805000</v>
      </c>
      <c r="Q10" s="245">
        <f>'3товар'!Q6*1000</f>
        <v>2805000</v>
      </c>
      <c r="R10" s="245">
        <f>'3товар'!R6*1000</f>
        <v>2805000</v>
      </c>
      <c r="S10" s="245">
        <f>'3товар'!S6*1000</f>
        <v>2805000</v>
      </c>
      <c r="T10" s="245">
        <f>'3товар'!T6*1000</f>
        <v>2805000</v>
      </c>
      <c r="U10" s="245">
        <f>'3товар'!U6*1000</f>
        <v>2805000</v>
      </c>
      <c r="V10" s="245">
        <f>'3товар'!V6*1000</f>
        <v>2805000</v>
      </c>
      <c r="W10" s="189">
        <f t="shared" si="1"/>
        <v>58905000</v>
      </c>
      <c r="X10" s="189">
        <f>NPV('1сел'!$X$1,B10:V10)</f>
        <v>47716441.697642058</v>
      </c>
    </row>
    <row r="11" spans="1:25" x14ac:dyDescent="0.25">
      <c r="A11" s="191" t="s">
        <v>266</v>
      </c>
      <c r="B11" s="215">
        <f>'2сем'!B11</f>
        <v>0</v>
      </c>
      <c r="C11" s="215">
        <f>'2сем'!C11</f>
        <v>0</v>
      </c>
      <c r="D11" s="215">
        <f>'2сем'!D11</f>
        <v>0</v>
      </c>
      <c r="E11" s="215">
        <f>'2сем'!E11</f>
        <v>0</v>
      </c>
      <c r="F11" s="254">
        <f>'2сем'!F11</f>
        <v>0</v>
      </c>
      <c r="G11" s="215">
        <f>'2сем'!G11</f>
        <v>0</v>
      </c>
      <c r="H11" s="215">
        <f>'2сем'!H11</f>
        <v>0</v>
      </c>
      <c r="I11" s="254">
        <f>'2сем'!I11</f>
        <v>0</v>
      </c>
      <c r="J11" s="215">
        <f>'2сем'!J11</f>
        <v>0</v>
      </c>
      <c r="K11" s="215">
        <f>'2сем'!K11</f>
        <v>0</v>
      </c>
      <c r="L11" s="215">
        <f>'2сем'!L11</f>
        <v>0</v>
      </c>
      <c r="M11" s="215">
        <f>'2сем'!M11</f>
        <v>0</v>
      </c>
      <c r="N11" s="254">
        <f>'2сем'!N11</f>
        <v>0</v>
      </c>
      <c r="O11" s="215">
        <f>'2сем'!O11</f>
        <v>0</v>
      </c>
      <c r="P11" s="215">
        <f>'2сем'!P11</f>
        <v>0</v>
      </c>
      <c r="Q11" s="215">
        <f>'2сем'!Q11</f>
        <v>0</v>
      </c>
      <c r="R11" s="215">
        <f>'2сем'!R11</f>
        <v>0</v>
      </c>
      <c r="S11" s="215">
        <f>'2сем'!S11</f>
        <v>2040</v>
      </c>
      <c r="T11" s="215">
        <f>'2сем'!T11</f>
        <v>0</v>
      </c>
      <c r="U11" s="215">
        <f>'2сем'!U11</f>
        <v>0</v>
      </c>
      <c r="V11" s="215">
        <f>'2сем'!V11</f>
        <v>0</v>
      </c>
      <c r="W11" s="189">
        <f t="shared" si="1"/>
        <v>2040</v>
      </c>
      <c r="X11" s="189">
        <f>NPV('1сел'!$X$1,B11:V11)</f>
        <v>1428.325124929871</v>
      </c>
    </row>
    <row r="12" spans="1:25" s="188" customFormat="1" x14ac:dyDescent="0.25">
      <c r="A12" s="194" t="s">
        <v>263</v>
      </c>
      <c r="B12" s="194">
        <f>SUM(B9:B11)</f>
        <v>2805000</v>
      </c>
      <c r="C12" s="194">
        <f t="shared" ref="C12:V12" si="3">SUM(C9:C11)</f>
        <v>2805000</v>
      </c>
      <c r="D12" s="194">
        <f t="shared" si="3"/>
        <v>2805000</v>
      </c>
      <c r="E12" s="194">
        <f t="shared" si="3"/>
        <v>2805000</v>
      </c>
      <c r="F12" s="256">
        <f t="shared" si="3"/>
        <v>2805000</v>
      </c>
      <c r="G12" s="194">
        <f t="shared" si="3"/>
        <v>2805000</v>
      </c>
      <c r="H12" s="194">
        <f t="shared" si="3"/>
        <v>2805000</v>
      </c>
      <c r="I12" s="256">
        <f t="shared" si="3"/>
        <v>2805000</v>
      </c>
      <c r="J12" s="194">
        <f t="shared" si="3"/>
        <v>2805000</v>
      </c>
      <c r="K12" s="194">
        <f t="shared" si="3"/>
        <v>2805000</v>
      </c>
      <c r="L12" s="194">
        <f t="shared" si="3"/>
        <v>2805000</v>
      </c>
      <c r="M12" s="194">
        <f t="shared" si="3"/>
        <v>2805000</v>
      </c>
      <c r="N12" s="256">
        <f t="shared" si="3"/>
        <v>2805000</v>
      </c>
      <c r="O12" s="194">
        <f t="shared" si="3"/>
        <v>2805000</v>
      </c>
      <c r="P12" s="194">
        <f t="shared" si="3"/>
        <v>2805000</v>
      </c>
      <c r="Q12" s="194">
        <f t="shared" si="3"/>
        <v>2805000</v>
      </c>
      <c r="R12" s="194">
        <f t="shared" si="3"/>
        <v>2805000</v>
      </c>
      <c r="S12" s="194">
        <f t="shared" si="3"/>
        <v>2807040</v>
      </c>
      <c r="T12" s="194">
        <f t="shared" si="3"/>
        <v>2813500</v>
      </c>
      <c r="U12" s="194">
        <f t="shared" si="3"/>
        <v>2813500</v>
      </c>
      <c r="V12" s="194">
        <f t="shared" si="3"/>
        <v>2813500</v>
      </c>
      <c r="W12" s="189">
        <f t="shared" si="1"/>
        <v>58932540</v>
      </c>
      <c r="X12" s="189">
        <f>NPV('1сел'!$X$1,B12:V12)</f>
        <v>47735033.034999028</v>
      </c>
    </row>
    <row r="13" spans="1:25" x14ac:dyDescent="0.25">
      <c r="A13" s="48" t="s">
        <v>268</v>
      </c>
      <c r="B13" s="37">
        <f>B9-B4</f>
        <v>-4397</v>
      </c>
      <c r="C13" s="37">
        <f t="shared" ref="C13:V15" si="4">C9-C4</f>
        <v>-4397</v>
      </c>
      <c r="D13" s="37">
        <f t="shared" si="4"/>
        <v>-4397</v>
      </c>
      <c r="E13" s="37">
        <f t="shared" si="4"/>
        <v>-4397</v>
      </c>
      <c r="F13" s="257">
        <f t="shared" si="4"/>
        <v>-4397</v>
      </c>
      <c r="G13" s="37">
        <f t="shared" si="4"/>
        <v>-4397</v>
      </c>
      <c r="H13" s="37">
        <f t="shared" si="4"/>
        <v>-4397</v>
      </c>
      <c r="I13" s="257">
        <f t="shared" si="4"/>
        <v>-4397</v>
      </c>
      <c r="J13" s="37">
        <f t="shared" si="4"/>
        <v>-4397</v>
      </c>
      <c r="K13" s="37">
        <f t="shared" si="4"/>
        <v>-4397</v>
      </c>
      <c r="L13" s="37">
        <f t="shared" si="4"/>
        <v>-4397</v>
      </c>
      <c r="M13" s="37">
        <f t="shared" si="4"/>
        <v>-4397</v>
      </c>
      <c r="N13" s="257">
        <f t="shared" si="4"/>
        <v>-3488</v>
      </c>
      <c r="O13" s="37">
        <f t="shared" si="4"/>
        <v>-3488</v>
      </c>
      <c r="P13" s="37">
        <f t="shared" si="4"/>
        <v>-6.3</v>
      </c>
      <c r="Q13" s="37">
        <f t="shared" si="4"/>
        <v>0</v>
      </c>
      <c r="R13" s="37">
        <f t="shared" si="4"/>
        <v>0</v>
      </c>
      <c r="S13" s="37">
        <f t="shared" si="4"/>
        <v>-2040</v>
      </c>
      <c r="T13" s="37">
        <f t="shared" si="4"/>
        <v>8500</v>
      </c>
      <c r="U13" s="37">
        <f t="shared" si="4"/>
        <v>8500</v>
      </c>
      <c r="V13" s="37">
        <f t="shared" si="4"/>
        <v>8500</v>
      </c>
      <c r="W13" s="189">
        <f t="shared" si="1"/>
        <v>-36286.300000000003</v>
      </c>
      <c r="X13" s="189">
        <f>NPV('1сел'!$X$1,B13:V13)</f>
        <v>-36109.574767312348</v>
      </c>
    </row>
    <row r="14" spans="1:25" x14ac:dyDescent="0.25">
      <c r="A14" s="245" t="s">
        <v>269</v>
      </c>
      <c r="B14" s="245">
        <f>B10-B5</f>
        <v>1870000</v>
      </c>
      <c r="C14" s="245">
        <f t="shared" si="4"/>
        <v>1870000</v>
      </c>
      <c r="D14" s="245">
        <f t="shared" si="4"/>
        <v>1870000</v>
      </c>
      <c r="E14" s="245">
        <f t="shared" si="4"/>
        <v>1870000</v>
      </c>
      <c r="F14" s="255">
        <f t="shared" si="4"/>
        <v>1870000</v>
      </c>
      <c r="G14" s="245">
        <f t="shared" si="4"/>
        <v>1870000</v>
      </c>
      <c r="H14" s="245">
        <f t="shared" si="4"/>
        <v>1870000</v>
      </c>
      <c r="I14" s="255">
        <f t="shared" si="4"/>
        <v>1870000</v>
      </c>
      <c r="J14" s="245">
        <f t="shared" si="4"/>
        <v>1870000</v>
      </c>
      <c r="K14" s="245">
        <f t="shared" si="4"/>
        <v>1870000</v>
      </c>
      <c r="L14" s="245">
        <f t="shared" si="4"/>
        <v>1870000</v>
      </c>
      <c r="M14" s="245">
        <f t="shared" si="4"/>
        <v>1870000</v>
      </c>
      <c r="N14" s="255">
        <f t="shared" si="4"/>
        <v>1870000</v>
      </c>
      <c r="O14" s="245">
        <f t="shared" si="4"/>
        <v>1870000</v>
      </c>
      <c r="P14" s="245">
        <f t="shared" si="4"/>
        <v>1870000</v>
      </c>
      <c r="Q14" s="245">
        <f t="shared" si="4"/>
        <v>1870000</v>
      </c>
      <c r="R14" s="245">
        <f t="shared" si="4"/>
        <v>1870000</v>
      </c>
      <c r="S14" s="245">
        <f t="shared" si="4"/>
        <v>1870000</v>
      </c>
      <c r="T14" s="245">
        <f t="shared" si="4"/>
        <v>1921000</v>
      </c>
      <c r="U14" s="245">
        <f t="shared" si="4"/>
        <v>1921000</v>
      </c>
      <c r="V14" s="245">
        <f t="shared" si="4"/>
        <v>1921000</v>
      </c>
      <c r="W14" s="189">
        <f t="shared" si="1"/>
        <v>39423000</v>
      </c>
      <c r="X14" s="189">
        <f>NPV('1сел'!$X$1,B14:V14)</f>
        <v>31913939.205153566</v>
      </c>
    </row>
    <row r="15" spans="1:25" x14ac:dyDescent="0.25">
      <c r="A15" s="48" t="s">
        <v>270</v>
      </c>
      <c r="B15" s="246">
        <f>B11-B6</f>
        <v>0</v>
      </c>
      <c r="C15" s="246">
        <f t="shared" si="4"/>
        <v>0</v>
      </c>
      <c r="D15" s="246">
        <f t="shared" si="4"/>
        <v>0</v>
      </c>
      <c r="E15" s="246">
        <f t="shared" si="4"/>
        <v>0</v>
      </c>
      <c r="F15" s="258">
        <f t="shared" si="4"/>
        <v>0</v>
      </c>
      <c r="G15" s="246">
        <f t="shared" si="4"/>
        <v>0</v>
      </c>
      <c r="H15" s="246">
        <f t="shared" si="4"/>
        <v>0</v>
      </c>
      <c r="I15" s="258">
        <f t="shared" si="4"/>
        <v>0</v>
      </c>
      <c r="J15" s="246">
        <f t="shared" si="4"/>
        <v>0</v>
      </c>
      <c r="K15" s="246">
        <f t="shared" si="4"/>
        <v>0</v>
      </c>
      <c r="L15" s="246">
        <f t="shared" si="4"/>
        <v>0</v>
      </c>
      <c r="M15" s="246">
        <f t="shared" si="4"/>
        <v>0</v>
      </c>
      <c r="N15" s="258">
        <f t="shared" si="4"/>
        <v>0</v>
      </c>
      <c r="O15" s="246">
        <f t="shared" si="4"/>
        <v>0</v>
      </c>
      <c r="P15" s="246">
        <f t="shared" si="4"/>
        <v>0</v>
      </c>
      <c r="Q15" s="246">
        <f t="shared" si="4"/>
        <v>0</v>
      </c>
      <c r="R15" s="246">
        <f t="shared" si="4"/>
        <v>-800.00000000000011</v>
      </c>
      <c r="S15" s="246">
        <f t="shared" si="4"/>
        <v>1240</v>
      </c>
      <c r="T15" s="246">
        <f t="shared" si="4"/>
        <v>0</v>
      </c>
      <c r="U15" s="246">
        <f t="shared" si="4"/>
        <v>0</v>
      </c>
      <c r="V15" s="246">
        <f t="shared" si="4"/>
        <v>0</v>
      </c>
      <c r="W15" s="189">
        <f t="shared" si="1"/>
        <v>439.99999999999989</v>
      </c>
      <c r="X15" s="189">
        <f>NPV('1сел'!$X$1,B15:V15)</f>
        <v>296.86757498542408</v>
      </c>
    </row>
    <row r="16" spans="1:25" x14ac:dyDescent="0.25">
      <c r="A16" s="48" t="s">
        <v>271</v>
      </c>
      <c r="B16" s="37">
        <f>SUM(B13:B15)</f>
        <v>1865603</v>
      </c>
      <c r="C16" s="37">
        <f t="shared" ref="C16:V16" si="5">SUM(C13:C15)</f>
        <v>1865603</v>
      </c>
      <c r="D16" s="37">
        <f t="shared" si="5"/>
        <v>1865603</v>
      </c>
      <c r="E16" s="37">
        <f t="shared" si="5"/>
        <v>1865603</v>
      </c>
      <c r="F16" s="257">
        <f t="shared" si="5"/>
        <v>1865603</v>
      </c>
      <c r="G16" s="37">
        <f t="shared" si="5"/>
        <v>1865603</v>
      </c>
      <c r="H16" s="37">
        <f t="shared" si="5"/>
        <v>1865603</v>
      </c>
      <c r="I16" s="257">
        <f t="shared" si="5"/>
        <v>1865603</v>
      </c>
      <c r="J16" s="37">
        <f t="shared" si="5"/>
        <v>1865603</v>
      </c>
      <c r="K16" s="37">
        <f t="shared" si="5"/>
        <v>1865603</v>
      </c>
      <c r="L16" s="37">
        <f t="shared" si="5"/>
        <v>1865603</v>
      </c>
      <c r="M16" s="37">
        <f t="shared" si="5"/>
        <v>1865603</v>
      </c>
      <c r="N16" s="257">
        <f t="shared" si="5"/>
        <v>1866512</v>
      </c>
      <c r="O16" s="37">
        <f t="shared" si="5"/>
        <v>1866512</v>
      </c>
      <c r="P16" s="37">
        <f t="shared" si="5"/>
        <v>1869993.7</v>
      </c>
      <c r="Q16" s="37">
        <f t="shared" si="5"/>
        <v>1870000</v>
      </c>
      <c r="R16" s="37">
        <f t="shared" si="5"/>
        <v>1869200</v>
      </c>
      <c r="S16" s="37">
        <f t="shared" si="5"/>
        <v>1869200</v>
      </c>
      <c r="T16" s="37">
        <f t="shared" si="5"/>
        <v>1929500</v>
      </c>
      <c r="U16" s="37">
        <f t="shared" si="5"/>
        <v>1929500</v>
      </c>
      <c r="V16" s="37">
        <f t="shared" si="5"/>
        <v>1929500</v>
      </c>
      <c r="W16" s="277">
        <f t="shared" si="1"/>
        <v>39387153.700000003</v>
      </c>
      <c r="X16" s="189">
        <f>NPV('1сел'!$X$1,B16:V16)</f>
        <v>31878126.497961242</v>
      </c>
    </row>
    <row r="17" spans="1:25" s="146" customFormat="1" x14ac:dyDescent="0.25">
      <c r="A17" s="195" t="s">
        <v>318</v>
      </c>
      <c r="B17" s="196">
        <f t="shared" ref="B17:V17" si="6">B22-B16</f>
        <v>0</v>
      </c>
      <c r="C17" s="196">
        <f t="shared" si="6"/>
        <v>0</v>
      </c>
      <c r="D17" s="196">
        <f t="shared" si="6"/>
        <v>0</v>
      </c>
      <c r="E17" s="196">
        <f t="shared" si="6"/>
        <v>0</v>
      </c>
      <c r="F17" s="196">
        <f t="shared" si="6"/>
        <v>0</v>
      </c>
      <c r="G17" s="196">
        <f t="shared" si="6"/>
        <v>0</v>
      </c>
      <c r="H17" s="196">
        <f t="shared" si="6"/>
        <v>0</v>
      </c>
      <c r="I17" s="196">
        <f t="shared" si="6"/>
        <v>0</v>
      </c>
      <c r="J17" s="196">
        <f t="shared" si="6"/>
        <v>0</v>
      </c>
      <c r="K17" s="196">
        <f t="shared" si="6"/>
        <v>0</v>
      </c>
      <c r="L17" s="196">
        <f t="shared" si="6"/>
        <v>0</v>
      </c>
      <c r="M17" s="196">
        <f t="shared" si="6"/>
        <v>0</v>
      </c>
      <c r="N17" s="196">
        <f t="shared" si="6"/>
        <v>0</v>
      </c>
      <c r="O17" s="196">
        <f t="shared" si="6"/>
        <v>0</v>
      </c>
      <c r="P17" s="196">
        <f t="shared" si="6"/>
        <v>0</v>
      </c>
      <c r="Q17" s="196">
        <f t="shared" si="6"/>
        <v>0</v>
      </c>
      <c r="R17" s="196">
        <f t="shared" si="6"/>
        <v>0</v>
      </c>
      <c r="S17" s="196">
        <f t="shared" si="6"/>
        <v>0</v>
      </c>
      <c r="T17" s="196">
        <f t="shared" si="6"/>
        <v>0</v>
      </c>
      <c r="U17" s="196">
        <f t="shared" si="6"/>
        <v>0</v>
      </c>
      <c r="V17" s="196">
        <f t="shared" si="6"/>
        <v>0</v>
      </c>
      <c r="W17" s="197">
        <f t="shared" si="1"/>
        <v>0</v>
      </c>
      <c r="X17" s="189">
        <f>NPV('1сел'!$X$1,B17:V17)</f>
        <v>0</v>
      </c>
      <c r="Y17" s="198"/>
    </row>
    <row r="18" spans="1:25" x14ac:dyDescent="0.25">
      <c r="A18" s="48" t="s">
        <v>272</v>
      </c>
      <c r="B18" s="48">
        <f>B12-B7</f>
        <v>1865603</v>
      </c>
      <c r="C18" s="48">
        <f t="shared" ref="C18:V18" si="7">C12-C7</f>
        <v>1865603</v>
      </c>
      <c r="D18" s="48">
        <f t="shared" si="7"/>
        <v>1865603</v>
      </c>
      <c r="E18" s="48">
        <f t="shared" si="7"/>
        <v>1865603</v>
      </c>
      <c r="F18" s="195">
        <f t="shared" si="7"/>
        <v>1865603</v>
      </c>
      <c r="G18" s="48">
        <f t="shared" si="7"/>
        <v>1865603</v>
      </c>
      <c r="H18" s="48">
        <f t="shared" si="7"/>
        <v>1865603</v>
      </c>
      <c r="I18" s="195">
        <f t="shared" si="7"/>
        <v>1865603</v>
      </c>
      <c r="J18" s="48">
        <f t="shared" si="7"/>
        <v>1865603</v>
      </c>
      <c r="K18" s="48">
        <f t="shared" si="7"/>
        <v>1865603</v>
      </c>
      <c r="L18" s="48">
        <f t="shared" si="7"/>
        <v>1865603</v>
      </c>
      <c r="M18" s="48">
        <f t="shared" si="7"/>
        <v>1865603</v>
      </c>
      <c r="N18" s="195">
        <f t="shared" si="7"/>
        <v>1866512</v>
      </c>
      <c r="O18" s="48">
        <f t="shared" si="7"/>
        <v>1866512</v>
      </c>
      <c r="P18" s="48">
        <f t="shared" si="7"/>
        <v>1869993.7</v>
      </c>
      <c r="Q18" s="48">
        <f t="shared" si="7"/>
        <v>1870000</v>
      </c>
      <c r="R18" s="48">
        <f t="shared" si="7"/>
        <v>1869200</v>
      </c>
      <c r="S18" s="48">
        <f t="shared" si="7"/>
        <v>1869200</v>
      </c>
      <c r="T18" s="48">
        <f t="shared" si="7"/>
        <v>1929500</v>
      </c>
      <c r="U18" s="48">
        <f t="shared" si="7"/>
        <v>1929500</v>
      </c>
      <c r="V18" s="48">
        <f t="shared" si="7"/>
        <v>1929500</v>
      </c>
      <c r="W18" s="277">
        <f t="shared" si="1"/>
        <v>39387153.700000003</v>
      </c>
      <c r="X18" s="189">
        <f>NPV('1сел'!$X$1,B18:V18)</f>
        <v>31878126.497961242</v>
      </c>
    </row>
    <row r="19" spans="1:25" s="21" customFormat="1" ht="12.75" x14ac:dyDescent="0.2">
      <c r="A19" s="21" t="s">
        <v>85</v>
      </c>
      <c r="B19" s="248">
        <f>'1сел'!B13</f>
        <v>-4397</v>
      </c>
      <c r="C19" s="248">
        <f>'1сел'!C13</f>
        <v>-4397</v>
      </c>
      <c r="D19" s="248">
        <f>'1сел'!D13</f>
        <v>-4397</v>
      </c>
      <c r="E19" s="248">
        <f>'1сел'!E13</f>
        <v>-4397</v>
      </c>
      <c r="F19" s="259">
        <f>'1сел'!F13</f>
        <v>-4397</v>
      </c>
      <c r="G19" s="248">
        <f>'1сел'!G13</f>
        <v>-4397</v>
      </c>
      <c r="H19" s="248">
        <f>'1сел'!H13</f>
        <v>-4397</v>
      </c>
      <c r="I19" s="259">
        <f>'1сел'!I13</f>
        <v>-4397</v>
      </c>
      <c r="J19" s="248">
        <f>'1сел'!J13</f>
        <v>-4397</v>
      </c>
      <c r="K19" s="248">
        <f>'1сел'!K13</f>
        <v>-4397</v>
      </c>
      <c r="L19" s="248">
        <f>'1сел'!L13</f>
        <v>-4397</v>
      </c>
      <c r="M19" s="248">
        <f>'1сел'!M13</f>
        <v>-4397</v>
      </c>
      <c r="N19" s="259">
        <f>'1сел'!N13</f>
        <v>-3488</v>
      </c>
      <c r="O19" s="248">
        <f>'1сел'!O13</f>
        <v>-3488</v>
      </c>
      <c r="P19" s="249">
        <f>'1сел'!P13</f>
        <v>-6.3</v>
      </c>
      <c r="Q19" s="248">
        <f>'1сел'!Q13</f>
        <v>0</v>
      </c>
      <c r="R19" s="248">
        <f>'1сел'!R13</f>
        <v>0</v>
      </c>
      <c r="S19" s="248">
        <f>'1сел'!S13</f>
        <v>-2040</v>
      </c>
      <c r="T19" s="248">
        <f>'1сел'!T13</f>
        <v>8500</v>
      </c>
      <c r="U19" s="248">
        <f>'1сел'!U13</f>
        <v>8500</v>
      </c>
      <c r="V19" s="248">
        <f>'1сел'!V13</f>
        <v>8500</v>
      </c>
      <c r="W19" s="189">
        <f t="shared" si="1"/>
        <v>-36286.300000000003</v>
      </c>
      <c r="X19" s="189">
        <f>NPV('1сел'!$X$1,B19:V19)</f>
        <v>-36109.574767312348</v>
      </c>
      <c r="Y19" s="190">
        <f>W19/$W$22</f>
        <v>-9.2127246046723097E-4</v>
      </c>
    </row>
    <row r="20" spans="1:25" x14ac:dyDescent="0.25">
      <c r="A20" t="s">
        <v>86</v>
      </c>
      <c r="B20" s="48">
        <f>'3товар'!B7*1000</f>
        <v>1870000</v>
      </c>
      <c r="C20" s="48">
        <f>'3товар'!C7*1000</f>
        <v>1870000</v>
      </c>
      <c r="D20" s="48">
        <f>'3товар'!D7*1000</f>
        <v>1870000</v>
      </c>
      <c r="E20" s="48">
        <f>'3товар'!E7*1000</f>
        <v>1870000</v>
      </c>
      <c r="F20" s="195">
        <f>'3товар'!F7*1000</f>
        <v>1870000</v>
      </c>
      <c r="G20" s="48">
        <f>'3товар'!G7*1000</f>
        <v>1870000</v>
      </c>
      <c r="H20" s="48">
        <f>'3товар'!H7*1000</f>
        <v>1870000</v>
      </c>
      <c r="I20" s="195">
        <f>'3товар'!I7*1000</f>
        <v>1870000</v>
      </c>
      <c r="J20" s="48">
        <f>'3товар'!J7*1000</f>
        <v>1870000</v>
      </c>
      <c r="K20" s="48">
        <f>'3товар'!K7*1000</f>
        <v>1870000</v>
      </c>
      <c r="L20" s="48">
        <f>'3товар'!L7*1000</f>
        <v>1870000</v>
      </c>
      <c r="M20" s="48">
        <f>'3товар'!M7*1000</f>
        <v>1870000</v>
      </c>
      <c r="N20" s="48">
        <f>'3товар'!N7*1000</f>
        <v>1870000</v>
      </c>
      <c r="O20" s="48">
        <f>'3товар'!O7*1000</f>
        <v>1870000</v>
      </c>
      <c r="P20" s="48">
        <f>'3товар'!P7*1000</f>
        <v>1870000</v>
      </c>
      <c r="Q20" s="48">
        <f>'3товар'!Q7*1000</f>
        <v>1870000</v>
      </c>
      <c r="R20" s="48">
        <f>'3товар'!R7*1000</f>
        <v>1870000</v>
      </c>
      <c r="S20" s="48">
        <f>'3товар'!S7*1000</f>
        <v>1870000</v>
      </c>
      <c r="T20" s="48">
        <f>'3товар'!T7*1000</f>
        <v>1921000</v>
      </c>
      <c r="U20" s="48">
        <f>'3товар'!U7*1000</f>
        <v>1921000</v>
      </c>
      <c r="V20" s="48">
        <f>'3товар'!V7*1000</f>
        <v>1921000</v>
      </c>
      <c r="W20" s="189">
        <f t="shared" si="1"/>
        <v>39423000</v>
      </c>
      <c r="X20" s="189">
        <f>NPV('1сел'!$X$1,B20:V20)</f>
        <v>31913939.205153566</v>
      </c>
      <c r="Y20" s="190">
        <f>W20/$W$22</f>
        <v>1.0009101013054416</v>
      </c>
    </row>
    <row r="21" spans="1:25" x14ac:dyDescent="0.25">
      <c r="A21" t="s">
        <v>87</v>
      </c>
      <c r="B21" s="215">
        <f>'2сем'!B13</f>
        <v>0</v>
      </c>
      <c r="C21" s="215">
        <f>'2сем'!C13</f>
        <v>0</v>
      </c>
      <c r="D21" s="215">
        <f>'2сем'!D13</f>
        <v>0</v>
      </c>
      <c r="E21" s="215">
        <f>'2сем'!E13</f>
        <v>0</v>
      </c>
      <c r="F21" s="215">
        <f>'2сем'!F13</f>
        <v>0</v>
      </c>
      <c r="G21" s="215">
        <f>'2сем'!G13</f>
        <v>0</v>
      </c>
      <c r="H21" s="215">
        <f>'2сем'!H13</f>
        <v>0</v>
      </c>
      <c r="I21" s="215">
        <f>'2сем'!I13</f>
        <v>0</v>
      </c>
      <c r="J21" s="215">
        <f>'2сем'!J13</f>
        <v>0</v>
      </c>
      <c r="K21" s="215">
        <f>'2сем'!K13</f>
        <v>0</v>
      </c>
      <c r="L21" s="215">
        <f>'2сем'!L13</f>
        <v>0</v>
      </c>
      <c r="M21" s="215">
        <f>'2сем'!M13</f>
        <v>0</v>
      </c>
      <c r="N21" s="254">
        <f>'2сем'!N13</f>
        <v>0</v>
      </c>
      <c r="O21" s="215">
        <f>'2сем'!O13</f>
        <v>0</v>
      </c>
      <c r="P21" s="215">
        <f>'2сем'!P13</f>
        <v>0</v>
      </c>
      <c r="Q21" s="215">
        <f>'2сем'!Q13</f>
        <v>0</v>
      </c>
      <c r="R21" s="215">
        <f>'2сем'!R13</f>
        <v>-800.00000000000011</v>
      </c>
      <c r="S21" s="215">
        <f>'2сем'!S13</f>
        <v>1240</v>
      </c>
      <c r="T21" s="215">
        <f>'2сем'!T13</f>
        <v>0</v>
      </c>
      <c r="U21" s="215">
        <f>'2сем'!U13</f>
        <v>0</v>
      </c>
      <c r="V21" s="215">
        <f>'2сем'!V13</f>
        <v>0</v>
      </c>
      <c r="W21" s="189">
        <f t="shared" si="1"/>
        <v>439.99999999999989</v>
      </c>
      <c r="X21" s="189">
        <f>NPV('1сел'!$X$1,B21:V21)</f>
        <v>296.86757498542408</v>
      </c>
      <c r="Y21" s="190">
        <f>W21/$W$22</f>
        <v>1.1171155025604194E-5</v>
      </c>
    </row>
    <row r="22" spans="1:25" s="192" customFormat="1" ht="12.75" x14ac:dyDescent="0.2">
      <c r="A22" s="192" t="s">
        <v>88</v>
      </c>
      <c r="B22" s="250">
        <f t="shared" ref="B22:V22" si="8">SUM(B19:B21)</f>
        <v>1865603</v>
      </c>
      <c r="C22" s="250">
        <f t="shared" si="8"/>
        <v>1865603</v>
      </c>
      <c r="D22" s="250">
        <f t="shared" si="8"/>
        <v>1865603</v>
      </c>
      <c r="E22" s="250">
        <f t="shared" si="8"/>
        <v>1865603</v>
      </c>
      <c r="F22" s="260">
        <f t="shared" si="8"/>
        <v>1865603</v>
      </c>
      <c r="G22" s="250">
        <f t="shared" si="8"/>
        <v>1865603</v>
      </c>
      <c r="H22" s="250">
        <f t="shared" si="8"/>
        <v>1865603</v>
      </c>
      <c r="I22" s="260">
        <f t="shared" si="8"/>
        <v>1865603</v>
      </c>
      <c r="J22" s="250">
        <f t="shared" si="8"/>
        <v>1865603</v>
      </c>
      <c r="K22" s="250">
        <f t="shared" si="8"/>
        <v>1865603</v>
      </c>
      <c r="L22" s="250">
        <f t="shared" si="8"/>
        <v>1865603</v>
      </c>
      <c r="M22" s="250">
        <f t="shared" si="8"/>
        <v>1865603</v>
      </c>
      <c r="N22" s="260">
        <f t="shared" si="8"/>
        <v>1866512</v>
      </c>
      <c r="O22" s="250">
        <f t="shared" si="8"/>
        <v>1866512</v>
      </c>
      <c r="P22" s="250">
        <f t="shared" si="8"/>
        <v>1869993.7</v>
      </c>
      <c r="Q22" s="250">
        <f t="shared" si="8"/>
        <v>1870000</v>
      </c>
      <c r="R22" s="250">
        <f t="shared" si="8"/>
        <v>1869200</v>
      </c>
      <c r="S22" s="250">
        <f t="shared" si="8"/>
        <v>1869200</v>
      </c>
      <c r="T22" s="250">
        <f t="shared" si="8"/>
        <v>1929500</v>
      </c>
      <c r="U22" s="250">
        <f t="shared" si="8"/>
        <v>1929500</v>
      </c>
      <c r="V22" s="250">
        <f t="shared" si="8"/>
        <v>1929500</v>
      </c>
      <c r="W22" s="277">
        <f t="shared" si="1"/>
        <v>39387153.700000003</v>
      </c>
      <c r="X22" s="189">
        <f>NPV('1сел'!$X$1,B22:V22)</f>
        <v>31878126.497961242</v>
      </c>
      <c r="Y22" s="190">
        <f>W22/$W$22</f>
        <v>1</v>
      </c>
    </row>
    <row r="23" spans="1:25" s="192" customFormat="1" ht="12.75" x14ac:dyDescent="0.2">
      <c r="A23" s="48" t="s">
        <v>335</v>
      </c>
      <c r="B23" s="250"/>
      <c r="C23" s="250"/>
      <c r="D23" s="250"/>
      <c r="E23" s="250"/>
      <c r="F23" s="260"/>
      <c r="G23" s="250"/>
      <c r="H23" s="250"/>
      <c r="I23" s="260"/>
      <c r="J23" s="250"/>
      <c r="K23" s="250"/>
      <c r="L23" s="250"/>
      <c r="M23" s="250"/>
      <c r="N23" s="260"/>
      <c r="O23" s="250"/>
      <c r="P23" s="250"/>
      <c r="Q23" s="250"/>
      <c r="R23" s="250"/>
      <c r="S23" s="250"/>
      <c r="T23" s="250"/>
      <c r="U23" s="250"/>
      <c r="V23" s="250"/>
      <c r="W23" s="189"/>
      <c r="X23" s="189"/>
      <c r="Y23" s="190"/>
    </row>
    <row r="24" spans="1:25" s="192" customFormat="1" ht="12.75" x14ac:dyDescent="0.2">
      <c r="A24" s="192" t="s">
        <v>320</v>
      </c>
      <c r="B24" s="250">
        <f>B19</f>
        <v>-4397</v>
      </c>
      <c r="C24" s="250">
        <f>B24+C19</f>
        <v>-8794</v>
      </c>
      <c r="D24" s="250">
        <f t="shared" ref="D24:V26" si="9">C24+D19</f>
        <v>-13191</v>
      </c>
      <c r="E24" s="250">
        <f t="shared" si="9"/>
        <v>-17588</v>
      </c>
      <c r="F24" s="250">
        <f t="shared" si="9"/>
        <v>-21985</v>
      </c>
      <c r="G24" s="250">
        <f t="shared" si="9"/>
        <v>-26382</v>
      </c>
      <c r="H24" s="250">
        <f t="shared" si="9"/>
        <v>-30779</v>
      </c>
      <c r="I24" s="250">
        <f t="shared" si="9"/>
        <v>-35176</v>
      </c>
      <c r="J24" s="250">
        <f t="shared" si="9"/>
        <v>-39573</v>
      </c>
      <c r="K24" s="250">
        <f t="shared" si="9"/>
        <v>-43970</v>
      </c>
      <c r="L24" s="250">
        <f t="shared" si="9"/>
        <v>-48367</v>
      </c>
      <c r="M24" s="250">
        <f t="shared" si="9"/>
        <v>-52764</v>
      </c>
      <c r="N24" s="250">
        <f t="shared" si="9"/>
        <v>-56252</v>
      </c>
      <c r="O24" s="250">
        <f t="shared" si="9"/>
        <v>-59740</v>
      </c>
      <c r="P24" s="250">
        <f t="shared" si="9"/>
        <v>-59746.3</v>
      </c>
      <c r="Q24" s="250">
        <f t="shared" si="9"/>
        <v>-59746.3</v>
      </c>
      <c r="R24" s="250">
        <f t="shared" si="9"/>
        <v>-59746.3</v>
      </c>
      <c r="S24" s="250">
        <f t="shared" si="9"/>
        <v>-61786.3</v>
      </c>
      <c r="T24" s="250">
        <f t="shared" si="9"/>
        <v>-53286.3</v>
      </c>
      <c r="U24" s="250">
        <f t="shared" si="9"/>
        <v>-44786.3</v>
      </c>
      <c r="V24" s="250">
        <f t="shared" si="9"/>
        <v>-36286.300000000003</v>
      </c>
      <c r="W24" s="189" t="s">
        <v>338</v>
      </c>
      <c r="X24" s="189"/>
      <c r="Y24" s="190"/>
    </row>
    <row r="25" spans="1:25" s="192" customFormat="1" ht="12.75" x14ac:dyDescent="0.2">
      <c r="A25" s="192" t="s">
        <v>336</v>
      </c>
      <c r="B25" s="250">
        <f>B20</f>
        <v>1870000</v>
      </c>
      <c r="C25" s="250">
        <f t="shared" ref="C25:R26" si="10">B25+C20</f>
        <v>3740000</v>
      </c>
      <c r="D25" s="250">
        <f t="shared" si="10"/>
        <v>5610000</v>
      </c>
      <c r="E25" s="250">
        <f t="shared" si="10"/>
        <v>7480000</v>
      </c>
      <c r="F25" s="250">
        <f t="shared" si="10"/>
        <v>9350000</v>
      </c>
      <c r="G25" s="250">
        <f t="shared" si="10"/>
        <v>11220000</v>
      </c>
      <c r="H25" s="250">
        <f t="shared" si="10"/>
        <v>13090000</v>
      </c>
      <c r="I25" s="250">
        <f t="shared" si="10"/>
        <v>14960000</v>
      </c>
      <c r="J25" s="250">
        <f t="shared" si="10"/>
        <v>16830000</v>
      </c>
      <c r="K25" s="250">
        <f t="shared" si="10"/>
        <v>18700000</v>
      </c>
      <c r="L25" s="250">
        <f t="shared" si="10"/>
        <v>20570000</v>
      </c>
      <c r="M25" s="250">
        <f t="shared" si="10"/>
        <v>22440000</v>
      </c>
      <c r="N25" s="250">
        <f t="shared" si="10"/>
        <v>24310000</v>
      </c>
      <c r="O25" s="250">
        <f t="shared" si="10"/>
        <v>26180000</v>
      </c>
      <c r="P25" s="250">
        <f t="shared" si="10"/>
        <v>28050000</v>
      </c>
      <c r="Q25" s="250">
        <f t="shared" si="10"/>
        <v>29920000</v>
      </c>
      <c r="R25" s="250">
        <f t="shared" si="10"/>
        <v>31790000</v>
      </c>
      <c r="S25" s="250">
        <f t="shared" si="9"/>
        <v>33660000</v>
      </c>
      <c r="T25" s="250">
        <f t="shared" si="9"/>
        <v>35581000</v>
      </c>
      <c r="U25" s="250">
        <f t="shared" si="9"/>
        <v>37502000</v>
      </c>
      <c r="V25" s="250">
        <f t="shared" si="9"/>
        <v>39423000</v>
      </c>
      <c r="W25" s="189"/>
      <c r="X25" s="189"/>
      <c r="Y25" s="190"/>
    </row>
    <row r="26" spans="1:25" s="192" customFormat="1" ht="12.75" x14ac:dyDescent="0.2">
      <c r="A26" s="192" t="s">
        <v>322</v>
      </c>
      <c r="B26" s="250">
        <f>B21</f>
        <v>0</v>
      </c>
      <c r="C26" s="250">
        <f t="shared" si="10"/>
        <v>0</v>
      </c>
      <c r="D26" s="250">
        <f t="shared" si="9"/>
        <v>0</v>
      </c>
      <c r="E26" s="250">
        <f t="shared" si="9"/>
        <v>0</v>
      </c>
      <c r="F26" s="250">
        <f t="shared" si="9"/>
        <v>0</v>
      </c>
      <c r="G26" s="250">
        <f t="shared" si="9"/>
        <v>0</v>
      </c>
      <c r="H26" s="250">
        <f t="shared" si="9"/>
        <v>0</v>
      </c>
      <c r="I26" s="250">
        <f t="shared" si="9"/>
        <v>0</v>
      </c>
      <c r="J26" s="250">
        <f t="shared" si="9"/>
        <v>0</v>
      </c>
      <c r="K26" s="250">
        <f t="shared" si="9"/>
        <v>0</v>
      </c>
      <c r="L26" s="250">
        <f t="shared" si="9"/>
        <v>0</v>
      </c>
      <c r="M26" s="250">
        <f t="shared" si="9"/>
        <v>0</v>
      </c>
      <c r="N26" s="250">
        <f t="shared" si="9"/>
        <v>0</v>
      </c>
      <c r="O26" s="250">
        <f t="shared" si="9"/>
        <v>0</v>
      </c>
      <c r="P26" s="250">
        <f t="shared" si="9"/>
        <v>0</v>
      </c>
      <c r="Q26" s="250">
        <f t="shared" si="9"/>
        <v>0</v>
      </c>
      <c r="R26" s="250">
        <f t="shared" si="9"/>
        <v>-800.00000000000011</v>
      </c>
      <c r="S26" s="250">
        <f t="shared" si="9"/>
        <v>439.99999999999989</v>
      </c>
      <c r="T26" s="250">
        <f t="shared" si="9"/>
        <v>439.99999999999989</v>
      </c>
      <c r="U26" s="250">
        <f t="shared" si="9"/>
        <v>439.99999999999989</v>
      </c>
      <c r="V26" s="250">
        <f t="shared" si="9"/>
        <v>439.99999999999989</v>
      </c>
      <c r="W26" s="189"/>
      <c r="X26" s="189"/>
      <c r="Y26" s="190"/>
    </row>
    <row r="27" spans="1:25" s="192" customFormat="1" ht="12.75" x14ac:dyDescent="0.2">
      <c r="A27" s="192" t="s">
        <v>337</v>
      </c>
      <c r="B27" s="250">
        <f>SUM(B24:B26)</f>
        <v>1865603</v>
      </c>
      <c r="C27" s="250">
        <f>B27+SUM(C19:C21)</f>
        <v>3731206</v>
      </c>
      <c r="D27" s="250">
        <f t="shared" ref="D27:S27" si="11">C27+SUM(D19:D21)</f>
        <v>5596809</v>
      </c>
      <c r="E27" s="250">
        <f t="shared" si="11"/>
        <v>7462412</v>
      </c>
      <c r="F27" s="250">
        <f t="shared" si="11"/>
        <v>9328015</v>
      </c>
      <c r="G27" s="250">
        <f t="shared" si="11"/>
        <v>11193618</v>
      </c>
      <c r="H27" s="250">
        <f t="shared" si="11"/>
        <v>13059221</v>
      </c>
      <c r="I27" s="250">
        <f t="shared" si="11"/>
        <v>14924824</v>
      </c>
      <c r="J27" s="250">
        <f t="shared" si="11"/>
        <v>16790427</v>
      </c>
      <c r="K27" s="250">
        <f t="shared" si="11"/>
        <v>18656030</v>
      </c>
      <c r="L27" s="250">
        <f t="shared" si="11"/>
        <v>20521633</v>
      </c>
      <c r="M27" s="250">
        <f t="shared" si="11"/>
        <v>22387236</v>
      </c>
      <c r="N27" s="250">
        <f t="shared" si="11"/>
        <v>24253748</v>
      </c>
      <c r="O27" s="250">
        <f t="shared" si="11"/>
        <v>26120260</v>
      </c>
      <c r="P27" s="250">
        <f t="shared" si="11"/>
        <v>27990253.699999999</v>
      </c>
      <c r="Q27" s="250">
        <f t="shared" si="11"/>
        <v>29860253.699999999</v>
      </c>
      <c r="R27" s="250">
        <f t="shared" si="11"/>
        <v>31729453.699999999</v>
      </c>
      <c r="S27" s="250">
        <f t="shared" si="11"/>
        <v>33598653.700000003</v>
      </c>
      <c r="T27" s="250">
        <f>S27+SUM(T19:T21)</f>
        <v>35528153.700000003</v>
      </c>
      <c r="U27" s="250">
        <f>T27+SUM(U19:U21)</f>
        <v>37457653.700000003</v>
      </c>
      <c r="V27" s="250">
        <f>U27+SUM(V19:V21)</f>
        <v>39387153.700000003</v>
      </c>
      <c r="W27" s="189"/>
      <c r="X27" s="189"/>
      <c r="Y27" s="190"/>
    </row>
    <row r="28" spans="1:25" s="192" customFormat="1" ht="12.75" x14ac:dyDescent="0.2">
      <c r="A28" s="192" t="s">
        <v>340</v>
      </c>
      <c r="B28" s="250"/>
      <c r="C28" s="250"/>
      <c r="D28" s="250"/>
      <c r="E28" s="250"/>
      <c r="F28" s="260"/>
      <c r="G28" s="250"/>
      <c r="H28" s="250"/>
      <c r="I28" s="260"/>
      <c r="J28" s="250"/>
      <c r="K28" s="250"/>
      <c r="L28" s="250"/>
      <c r="M28" s="250"/>
      <c r="N28" s="260"/>
      <c r="O28" s="250"/>
      <c r="P28" s="250"/>
      <c r="Q28" s="250"/>
      <c r="R28" s="250"/>
      <c r="S28" s="250"/>
      <c r="T28" s="250"/>
      <c r="U28" s="250"/>
      <c r="V28" s="250"/>
      <c r="W28" s="189"/>
      <c r="X28" s="189"/>
      <c r="Y28" s="190"/>
    </row>
    <row r="29" spans="1:25" s="192" customFormat="1" ht="12.75" x14ac:dyDescent="0.2">
      <c r="B29" s="250"/>
      <c r="C29" s="250"/>
      <c r="D29" s="250"/>
      <c r="E29" s="250"/>
      <c r="F29" s="260"/>
      <c r="G29" s="250"/>
      <c r="H29" s="250"/>
      <c r="I29" s="260"/>
      <c r="J29" s="250"/>
      <c r="K29" s="250"/>
      <c r="L29" s="250"/>
      <c r="M29" s="250"/>
      <c r="N29" s="260"/>
      <c r="O29" s="250"/>
      <c r="P29" s="250"/>
      <c r="Q29" s="250"/>
      <c r="R29" s="250"/>
      <c r="S29" s="250"/>
      <c r="T29" s="250"/>
      <c r="U29" s="250"/>
      <c r="V29" s="250"/>
      <c r="W29" s="189"/>
      <c r="X29" s="189"/>
      <c r="Y29" s="190"/>
    </row>
    <row r="30" spans="1:25" s="192" customFormat="1" ht="12.75" x14ac:dyDescent="0.2">
      <c r="B30" s="250"/>
      <c r="C30" s="250"/>
      <c r="D30" s="250"/>
      <c r="E30" s="250"/>
      <c r="F30" s="260"/>
      <c r="G30" s="250"/>
      <c r="H30" s="250"/>
      <c r="I30" s="260"/>
      <c r="J30" s="250"/>
      <c r="K30" s="250"/>
      <c r="L30" s="250"/>
      <c r="M30" s="250"/>
      <c r="N30" s="260"/>
      <c r="O30" s="250"/>
      <c r="P30" s="250"/>
      <c r="Q30" s="250"/>
      <c r="R30" s="250"/>
      <c r="S30" s="250"/>
      <c r="T30" s="250"/>
      <c r="U30" s="250"/>
      <c r="V30" s="250"/>
      <c r="W30" s="189"/>
      <c r="X30" s="189"/>
      <c r="Y30" s="190"/>
    </row>
    <row r="31" spans="1:25" ht="18.75" x14ac:dyDescent="0.3">
      <c r="A31" s="262" t="s">
        <v>339</v>
      </c>
      <c r="B31" s="262"/>
      <c r="C31" s="262"/>
      <c r="W31" s="189"/>
      <c r="X31" s="189"/>
    </row>
    <row r="32" spans="1:25" x14ac:dyDescent="0.25">
      <c r="A32" s="244" t="s">
        <v>259</v>
      </c>
      <c r="B32" s="261">
        <f>'1сел'!B22+'1сел'!B23+'1сел'!B24+'1сел'!B25+'1сел'!B26+'1сел'!B29</f>
        <v>12000</v>
      </c>
      <c r="C32" s="261">
        <f>'1сел'!C22+'1сел'!C23+'1сел'!C24+'1сел'!C25+'1сел'!C26+'1сел'!C29</f>
        <v>3072</v>
      </c>
      <c r="D32" s="261">
        <f>'1сел'!D22+'1сел'!D23+'1сел'!D24+'1сел'!D25+'1сел'!D26+'1сел'!D29</f>
        <v>4397</v>
      </c>
      <c r="E32" s="261">
        <f>'1сел'!E22+'1сел'!E23+'1сел'!E24+'1сел'!E25+'1сел'!E26+'1сел'!E29</f>
        <v>4397</v>
      </c>
      <c r="F32" s="261">
        <f>'1сел'!F22+'1сел'!F23+'1сел'!F24+'1сел'!F25+'1сел'!F26+'1сел'!F29</f>
        <v>56</v>
      </c>
      <c r="G32" s="261">
        <f>'1сел'!G22+'1сел'!G23+'1сел'!G24+'1сел'!G25+'1сел'!G26+'1сел'!G29</f>
        <v>6.3</v>
      </c>
      <c r="H32" s="261">
        <f>'1сел'!H22+'1сел'!H23+'1сел'!H24+'1сел'!H25+'1сел'!H26+'1сел'!H29</f>
        <v>0</v>
      </c>
      <c r="I32" s="261">
        <f>'1сел'!I22+'1сел'!I23+'1сел'!I24+'1сел'!I25+'1сел'!I26+'1сел'!I29</f>
        <v>0</v>
      </c>
      <c r="J32" s="261">
        <f>'1сел'!J22+'1сел'!J23+'1сел'!J24+'1сел'!J25+'1сел'!J26+'1сел'!J29</f>
        <v>2040</v>
      </c>
      <c r="K32" s="261">
        <f>'1сел'!K22+'1сел'!K23+'1сел'!K24+'1сел'!K25+'1сел'!K26+'1сел'!K29</f>
        <v>0</v>
      </c>
      <c r="L32" s="261">
        <f>'1сел'!L22+'1сел'!L23+'1сел'!L24+'1сел'!L25+'1сел'!L26+'1сел'!L29</f>
        <v>0</v>
      </c>
      <c r="M32" s="261">
        <f>'1сел'!M22+'1сел'!M23+'1сел'!M24+'1сел'!M25+'1сел'!M26+'1сел'!M29</f>
        <v>2040</v>
      </c>
      <c r="N32" s="261">
        <f>'1сел'!N22+'1сел'!N23+'1сел'!N24+'1сел'!N25+'1сел'!N26+'1сел'!N29</f>
        <v>0</v>
      </c>
      <c r="O32" s="261">
        <f>'1сел'!O22+'1сел'!O23+'1сел'!O24+'1сел'!O25+'1сел'!O26+'1сел'!O29</f>
        <v>0</v>
      </c>
      <c r="P32" s="261">
        <f>'1сел'!P22+'1сел'!P23+'1сел'!P24+'1сел'!P25+'1сел'!P26+'1сел'!P29</f>
        <v>2040</v>
      </c>
      <c r="Q32" s="261">
        <f>'1сел'!Q22+'1сел'!Q23+'1сел'!Q24+'1сел'!Q25+'1сел'!Q26+'1сел'!Q29</f>
        <v>0</v>
      </c>
      <c r="R32" s="261">
        <f>'1сел'!R22+'1сел'!R23+'1сел'!R24+'1сел'!R25+'1сел'!R26+'1сел'!R29</f>
        <v>0</v>
      </c>
      <c r="S32" s="261">
        <f>'1сел'!S22+'1сел'!S23+'1сел'!S24+'1сел'!S25+'1сел'!S26+'1сел'!S29</f>
        <v>2040</v>
      </c>
      <c r="T32" s="261">
        <f>'1сел'!T22+'1сел'!T23+'1сел'!T24+'1сел'!T25+'1сел'!T26+'1сел'!T29</f>
        <v>0</v>
      </c>
      <c r="U32" s="261">
        <f>'1сел'!U22+'1сел'!U23+'1сел'!U24+'1сел'!U25+'1сел'!U26+'1сел'!U29</f>
        <v>0</v>
      </c>
      <c r="V32" s="261">
        <f>'1сел'!V22+'1сел'!V23+'1сел'!V24+'1сел'!V25+'1сел'!V26+'1сел'!V29</f>
        <v>0</v>
      </c>
      <c r="W32" s="189">
        <f t="shared" ref="W32:W46" si="12">SUM(B32:V32)</f>
        <v>32088.3</v>
      </c>
      <c r="X32" s="189">
        <f>NPV('1сел'!$X$1,B32:V32)</f>
        <v>29238.853161289477</v>
      </c>
    </row>
    <row r="33" spans="1:25" x14ac:dyDescent="0.25">
      <c r="A33" s="244" t="s">
        <v>261</v>
      </c>
      <c r="B33" s="58">
        <f>('3товар'!B15+'3товар'!B16*$J$1)*1000</f>
        <v>935000</v>
      </c>
      <c r="C33" s="58">
        <f>('3товар'!C15+'3товар'!C16*$J$1)*1000</f>
        <v>935000</v>
      </c>
      <c r="D33" s="58">
        <f>('3товар'!D15+'3товар'!D16*$J$1)*1000</f>
        <v>935000</v>
      </c>
      <c r="E33" s="58">
        <f>('3товар'!E15+'3товар'!E16*$J$1)*1000</f>
        <v>935000</v>
      </c>
      <c r="F33" s="58">
        <f>('3товар'!F15+'3товар'!F16*$J$1)*1000</f>
        <v>935000</v>
      </c>
      <c r="G33" s="58">
        <f>('3товар'!G15+'3товар'!G16*$J$1)*1000</f>
        <v>935000</v>
      </c>
      <c r="H33" s="58">
        <f>('3товар'!H15+'3товар'!H16*$J$1)*1000</f>
        <v>935000</v>
      </c>
      <c r="I33" s="58">
        <f>('3товар'!I15+'3товар'!I16*$J$1)*1000</f>
        <v>935000</v>
      </c>
      <c r="J33" s="58">
        <f>('3товар'!J15+'3товар'!J16*$J$1)*1000</f>
        <v>935000</v>
      </c>
      <c r="K33" s="58">
        <f>('3товар'!K15+'3товар'!K16*$J$1)*1000</f>
        <v>884000</v>
      </c>
      <c r="L33" s="58">
        <f>('3товар'!L15+'3товар'!L16*$J$1)*1000</f>
        <v>884000</v>
      </c>
      <c r="M33" s="58">
        <f>('3товар'!M15+'3товар'!M16*$J$1)*1000</f>
        <v>884000</v>
      </c>
      <c r="N33" s="58">
        <f>('3товар'!N15+'3товар'!N16*$J$1)*1000</f>
        <v>884000</v>
      </c>
      <c r="O33" s="58">
        <f>('3товар'!O15+'3товар'!O16*$J$1)*1000</f>
        <v>884000</v>
      </c>
      <c r="P33" s="58">
        <f>('3товар'!P15+'3товар'!P16*$J$1)*1000</f>
        <v>884000</v>
      </c>
      <c r="Q33" s="58">
        <f>('3товар'!Q15+'3товар'!Q16*$J$1)*1000</f>
        <v>884000</v>
      </c>
      <c r="R33" s="58">
        <f>('3товар'!R15+'3товар'!R16*$J$1)*1000</f>
        <v>884000</v>
      </c>
      <c r="S33" s="58">
        <f>('3товар'!S15+'3товар'!S16*$J$1)*1000</f>
        <v>884000</v>
      </c>
      <c r="T33" s="58">
        <f>('3товар'!T15+'3товар'!T16*$J$1)*1000</f>
        <v>884000</v>
      </c>
      <c r="U33" s="58">
        <f>('3товар'!U15+'3товар'!U16*$J$1)*1000</f>
        <v>884000</v>
      </c>
      <c r="V33" s="58">
        <f>('3товар'!V15+'3товар'!V16*$J$1)*1000</f>
        <v>884000</v>
      </c>
      <c r="W33" s="189">
        <f t="shared" si="12"/>
        <v>19023000</v>
      </c>
      <c r="X33" s="189">
        <f>NPV('1сел'!$X$1,B33:V33)</f>
        <v>15454182.970675552</v>
      </c>
    </row>
    <row r="34" spans="1:25" s="147" customFormat="1" x14ac:dyDescent="0.25">
      <c r="A34" s="268" t="s">
        <v>260</v>
      </c>
      <c r="B34" s="269">
        <f>'2сем'!B29</f>
        <v>0</v>
      </c>
      <c r="C34" s="269">
        <f>'2сем'!C29</f>
        <v>0</v>
      </c>
      <c r="D34" s="269">
        <f>'2сем'!D29</f>
        <v>0</v>
      </c>
      <c r="E34" s="269">
        <f>'2сем'!E29</f>
        <v>0</v>
      </c>
      <c r="F34" s="269">
        <f>'2сем'!F29</f>
        <v>0</v>
      </c>
      <c r="G34" s="269">
        <f>'2сем'!G29</f>
        <v>0</v>
      </c>
      <c r="H34" s="269">
        <f>'2сем'!H29</f>
        <v>0</v>
      </c>
      <c r="I34" s="269">
        <f>'2сем'!I29</f>
        <v>800.00000000000011</v>
      </c>
      <c r="J34" s="269">
        <f>'2сем'!J29</f>
        <v>800.00000000000011</v>
      </c>
      <c r="K34" s="269">
        <f>'2сем'!K29</f>
        <v>0</v>
      </c>
      <c r="L34" s="269">
        <f>'2сем'!L29</f>
        <v>800.00000000000011</v>
      </c>
      <c r="M34" s="269">
        <f>'2сем'!M29</f>
        <v>800.00000000000011</v>
      </c>
      <c r="N34" s="269">
        <f>'2сем'!N29</f>
        <v>0</v>
      </c>
      <c r="O34" s="269">
        <f>'2сем'!O29</f>
        <v>800.00000000000011</v>
      </c>
      <c r="P34" s="269">
        <f>'2сем'!P29</f>
        <v>800.00000000000011</v>
      </c>
      <c r="Q34" s="269">
        <f>'2сем'!Q29</f>
        <v>0</v>
      </c>
      <c r="R34" s="269">
        <f>'2сем'!R29</f>
        <v>800.00000000000011</v>
      </c>
      <c r="S34" s="269">
        <f>'2сем'!S29</f>
        <v>800.00000000000011</v>
      </c>
      <c r="T34" s="269">
        <f>'2сем'!T29</f>
        <v>0</v>
      </c>
      <c r="U34" s="269">
        <f>'2сем'!U29</f>
        <v>0</v>
      </c>
      <c r="V34" s="269">
        <f>'2сем'!V29</f>
        <v>0</v>
      </c>
      <c r="W34" s="270">
        <f t="shared" si="12"/>
        <v>6400.0000000000009</v>
      </c>
      <c r="X34" s="270">
        <f>NPV('1сел'!$X$1,B34:V34)</f>
        <v>4958.5708349960669</v>
      </c>
      <c r="Y34" s="145"/>
    </row>
    <row r="35" spans="1:25" x14ac:dyDescent="0.25">
      <c r="A35" s="40" t="s">
        <v>263</v>
      </c>
      <c r="B35" s="40">
        <f>SUM(B32:B34)</f>
        <v>947000</v>
      </c>
      <c r="C35" s="40">
        <f t="shared" ref="C35:V35" si="13">SUM(C32:C34)</f>
        <v>938072</v>
      </c>
      <c r="D35" s="40">
        <f t="shared" si="13"/>
        <v>939397</v>
      </c>
      <c r="E35" s="40">
        <f t="shared" si="13"/>
        <v>939397</v>
      </c>
      <c r="F35" s="40">
        <f t="shared" si="13"/>
        <v>935056</v>
      </c>
      <c r="G35" s="40">
        <f t="shared" si="13"/>
        <v>935006.3</v>
      </c>
      <c r="H35" s="40">
        <f t="shared" si="13"/>
        <v>935000</v>
      </c>
      <c r="I35" s="40">
        <f t="shared" si="13"/>
        <v>935800</v>
      </c>
      <c r="J35" s="40">
        <f t="shared" si="13"/>
        <v>937840</v>
      </c>
      <c r="K35" s="40">
        <f t="shared" si="13"/>
        <v>884000</v>
      </c>
      <c r="L35" s="40">
        <f t="shared" si="13"/>
        <v>884800</v>
      </c>
      <c r="M35" s="40">
        <f t="shared" si="13"/>
        <v>886840</v>
      </c>
      <c r="N35" s="40">
        <f t="shared" si="13"/>
        <v>884000</v>
      </c>
      <c r="O35" s="40">
        <f t="shared" si="13"/>
        <v>884800</v>
      </c>
      <c r="P35" s="40">
        <f t="shared" si="13"/>
        <v>886840</v>
      </c>
      <c r="Q35" s="40">
        <f t="shared" si="13"/>
        <v>884000</v>
      </c>
      <c r="R35" s="40">
        <f t="shared" si="13"/>
        <v>884800</v>
      </c>
      <c r="S35" s="40">
        <f t="shared" si="13"/>
        <v>886840</v>
      </c>
      <c r="T35" s="40">
        <f t="shared" si="13"/>
        <v>884000</v>
      </c>
      <c r="U35" s="40">
        <f t="shared" si="13"/>
        <v>884000</v>
      </c>
      <c r="V35" s="40">
        <f t="shared" si="13"/>
        <v>884000</v>
      </c>
      <c r="W35" s="189">
        <f t="shared" si="12"/>
        <v>19061488.300000001</v>
      </c>
      <c r="X35" s="189">
        <f>NPV('1сел'!$X$1,B35:V35)</f>
        <v>15488380.394671835</v>
      </c>
    </row>
    <row r="36" spans="1:25" x14ac:dyDescent="0.25">
      <c r="A36" s="201" t="s">
        <v>341</v>
      </c>
      <c r="W36" s="189">
        <f t="shared" si="12"/>
        <v>0</v>
      </c>
      <c r="X36" s="189">
        <f>NPV('1сел'!$X$1,B36:V36)</f>
        <v>0</v>
      </c>
    </row>
    <row r="37" spans="1:25" x14ac:dyDescent="0.25">
      <c r="A37" s="191" t="s">
        <v>265</v>
      </c>
      <c r="B37" s="215">
        <f>'1сел'!B30</f>
        <v>0</v>
      </c>
      <c r="C37" s="215">
        <f>'1сел'!C30</f>
        <v>0</v>
      </c>
      <c r="D37" s="215">
        <f>'1сел'!D30</f>
        <v>0</v>
      </c>
      <c r="E37" s="215">
        <f>'1сел'!E30</f>
        <v>0</v>
      </c>
      <c r="F37" s="215">
        <f>'1сел'!F30</f>
        <v>0</v>
      </c>
      <c r="G37" s="215">
        <f>'1сел'!G30</f>
        <v>0</v>
      </c>
      <c r="H37" s="215">
        <f>'1сел'!H30</f>
        <v>0</v>
      </c>
      <c r="I37" s="215">
        <f>'1сел'!I30</f>
        <v>0</v>
      </c>
      <c r="J37" s="215">
        <f>'1сел'!J30</f>
        <v>0</v>
      </c>
      <c r="K37" s="215">
        <f>'1сел'!K30</f>
        <v>8500</v>
      </c>
      <c r="L37" s="215">
        <f>'1сел'!L30</f>
        <v>8500</v>
      </c>
      <c r="M37" s="215">
        <f>'1сел'!M30</f>
        <v>8500</v>
      </c>
      <c r="N37" s="215">
        <f>'1сел'!N30</f>
        <v>8500</v>
      </c>
      <c r="O37" s="215">
        <f>'1сел'!O30</f>
        <v>8500</v>
      </c>
      <c r="P37" s="215">
        <f>'1сел'!P30</f>
        <v>8500</v>
      </c>
      <c r="Q37" s="215">
        <f>'1сел'!Q30</f>
        <v>8500</v>
      </c>
      <c r="R37" s="215">
        <f>'1сел'!R30</f>
        <v>8500</v>
      </c>
      <c r="S37" s="215">
        <f>'1сел'!S30</f>
        <v>8500</v>
      </c>
      <c r="T37" s="215">
        <f>'1сел'!T30</f>
        <v>8500</v>
      </c>
      <c r="U37" s="215">
        <f>'1сел'!U30</f>
        <v>8500</v>
      </c>
      <c r="V37" s="215">
        <f>'1сел'!V30</f>
        <v>8500</v>
      </c>
      <c r="W37" s="189">
        <f t="shared" si="12"/>
        <v>102000</v>
      </c>
      <c r="X37" s="189">
        <f>NPV('1сел'!$X$1,B37:V37)</f>
        <v>75216.265867522423</v>
      </c>
    </row>
    <row r="38" spans="1:25" x14ac:dyDescent="0.25">
      <c r="A38" s="191" t="s">
        <v>267</v>
      </c>
      <c r="B38" s="245">
        <f>'3товар'!B17*1000*$J$1</f>
        <v>2805000</v>
      </c>
      <c r="C38" s="245">
        <f>'3товар'!C17*1000*$J$1</f>
        <v>2805000</v>
      </c>
      <c r="D38" s="245">
        <f>'3товар'!D17*1000*$J$1</f>
        <v>2805000</v>
      </c>
      <c r="E38" s="245">
        <f>'3товар'!E17*1000*$J$1</f>
        <v>2805000</v>
      </c>
      <c r="F38" s="245">
        <f>'3товар'!F17*1000*$J$1</f>
        <v>2805000</v>
      </c>
      <c r="G38" s="245">
        <f>'3товар'!G17*1000*$J$1</f>
        <v>2805000</v>
      </c>
      <c r="H38" s="245">
        <f>'3товар'!H17*1000*$J$1</f>
        <v>2805000</v>
      </c>
      <c r="I38" s="245">
        <f>'3товар'!I17*1000*$J$1</f>
        <v>2805000</v>
      </c>
      <c r="J38" s="245">
        <f>'3товар'!J17*1000*$J$1</f>
        <v>2805000</v>
      </c>
      <c r="K38" s="245">
        <f>'3товар'!K17*1000*$J$1</f>
        <v>2805000</v>
      </c>
      <c r="L38" s="245">
        <f>'3товар'!L17*1000*$J$1</f>
        <v>2805000</v>
      </c>
      <c r="M38" s="245">
        <f>'3товар'!M17*1000*$J$1</f>
        <v>2805000</v>
      </c>
      <c r="N38" s="245">
        <f>'3товар'!N17*1000*$J$1</f>
        <v>2805000</v>
      </c>
      <c r="O38" s="245">
        <f>'3товар'!O17*1000*$J$1</f>
        <v>2805000</v>
      </c>
      <c r="P38" s="245">
        <f>'3товар'!P17*1000*$J$1</f>
        <v>2805000</v>
      </c>
      <c r="Q38" s="245">
        <f>'3товар'!Q17*1000*$J$1</f>
        <v>2805000</v>
      </c>
      <c r="R38" s="245">
        <f>'3товар'!R17*1000*$J$1</f>
        <v>2805000</v>
      </c>
      <c r="S38" s="245">
        <f>'3товар'!S17*1000*$J$1</f>
        <v>2805000</v>
      </c>
      <c r="T38" s="245">
        <f>'3товар'!T17*1000*$J$1</f>
        <v>2805000</v>
      </c>
      <c r="U38" s="245">
        <f>'3товар'!U17*1000*$J$1</f>
        <v>2805000</v>
      </c>
      <c r="V38" s="245">
        <f>'3товар'!V17*1000*$J$1</f>
        <v>2805000</v>
      </c>
      <c r="W38" s="189">
        <f t="shared" si="12"/>
        <v>58905000</v>
      </c>
      <c r="X38" s="189">
        <f>NPV('1сел'!$X$1,B38:V38)</f>
        <v>47716441.697642058</v>
      </c>
    </row>
    <row r="39" spans="1:25" s="145" customFormat="1" x14ac:dyDescent="0.25">
      <c r="A39" s="267" t="s">
        <v>266</v>
      </c>
      <c r="B39" s="271">
        <f>'2сем'!B30</f>
        <v>0</v>
      </c>
      <c r="C39" s="271">
        <f>'2сем'!C30</f>
        <v>0</v>
      </c>
      <c r="D39" s="271">
        <f>'2сем'!D30</f>
        <v>0</v>
      </c>
      <c r="E39" s="271">
        <f>'2сем'!E30</f>
        <v>0</v>
      </c>
      <c r="F39" s="271">
        <f>'2сем'!F30</f>
        <v>0</v>
      </c>
      <c r="G39" s="271">
        <f>'2сем'!G30</f>
        <v>0</v>
      </c>
      <c r="H39" s="271">
        <f>'2сем'!H30</f>
        <v>0</v>
      </c>
      <c r="I39" s="271">
        <f>'2сем'!I30</f>
        <v>0</v>
      </c>
      <c r="J39" s="271">
        <f>'2сем'!J30</f>
        <v>2040</v>
      </c>
      <c r="K39" s="271">
        <f>'2сем'!K30</f>
        <v>0</v>
      </c>
      <c r="L39" s="271">
        <f>'2сем'!L30</f>
        <v>0</v>
      </c>
      <c r="M39" s="271">
        <f>'2сем'!M30</f>
        <v>2040</v>
      </c>
      <c r="N39" s="271">
        <f>'2сем'!N30</f>
        <v>0</v>
      </c>
      <c r="O39" s="271">
        <f>'2сем'!O30</f>
        <v>0</v>
      </c>
      <c r="P39" s="271">
        <f>'2сем'!P30</f>
        <v>2040</v>
      </c>
      <c r="Q39" s="271">
        <f>'2сем'!Q30</f>
        <v>0</v>
      </c>
      <c r="R39" s="271">
        <f>'2сем'!R30</f>
        <v>0</v>
      </c>
      <c r="S39" s="271">
        <f>'2сем'!S30</f>
        <v>2040</v>
      </c>
      <c r="T39" s="271">
        <f>'2сем'!T30</f>
        <v>0</v>
      </c>
      <c r="U39" s="271">
        <f>'2сем'!U30</f>
        <v>0</v>
      </c>
      <c r="V39" s="271">
        <f>'2сем'!V30</f>
        <v>0</v>
      </c>
      <c r="W39" s="270">
        <f t="shared" si="12"/>
        <v>8160</v>
      </c>
      <c r="X39" s="270">
        <f>NPV('1сел'!$X$1,B39:V39)</f>
        <v>6259.5819946732508</v>
      </c>
    </row>
    <row r="40" spans="1:25" x14ac:dyDescent="0.25">
      <c r="A40" s="194" t="s">
        <v>263</v>
      </c>
      <c r="B40" s="194">
        <f>SUM(B37:B39)</f>
        <v>2805000</v>
      </c>
      <c r="C40" s="194">
        <f t="shared" ref="C40:V40" si="14">SUM(C37:C39)</f>
        <v>2805000</v>
      </c>
      <c r="D40" s="194">
        <f t="shared" si="14"/>
        <v>2805000</v>
      </c>
      <c r="E40" s="194">
        <f t="shared" si="14"/>
        <v>2805000</v>
      </c>
      <c r="F40" s="194">
        <f t="shared" si="14"/>
        <v>2805000</v>
      </c>
      <c r="G40" s="194">
        <f t="shared" si="14"/>
        <v>2805000</v>
      </c>
      <c r="H40" s="194">
        <f t="shared" si="14"/>
        <v>2805000</v>
      </c>
      <c r="I40" s="194">
        <f t="shared" si="14"/>
        <v>2805000</v>
      </c>
      <c r="J40" s="194">
        <f t="shared" si="14"/>
        <v>2807040</v>
      </c>
      <c r="K40" s="194">
        <f t="shared" si="14"/>
        <v>2813500</v>
      </c>
      <c r="L40" s="194">
        <f t="shared" si="14"/>
        <v>2813500</v>
      </c>
      <c r="M40" s="194">
        <f t="shared" si="14"/>
        <v>2815540</v>
      </c>
      <c r="N40" s="194">
        <f t="shared" si="14"/>
        <v>2813500</v>
      </c>
      <c r="O40" s="194">
        <f t="shared" si="14"/>
        <v>2813500</v>
      </c>
      <c r="P40" s="194">
        <f t="shared" si="14"/>
        <v>2815540</v>
      </c>
      <c r="Q40" s="194">
        <f t="shared" si="14"/>
        <v>2813500</v>
      </c>
      <c r="R40" s="194">
        <f t="shared" si="14"/>
        <v>2813500</v>
      </c>
      <c r="S40" s="194">
        <f t="shared" si="14"/>
        <v>2815540</v>
      </c>
      <c r="T40" s="194">
        <f t="shared" si="14"/>
        <v>2813500</v>
      </c>
      <c r="U40" s="194">
        <f t="shared" si="14"/>
        <v>2813500</v>
      </c>
      <c r="V40" s="194">
        <f t="shared" si="14"/>
        <v>2813500</v>
      </c>
      <c r="W40" s="189">
        <f t="shared" si="12"/>
        <v>59015160</v>
      </c>
      <c r="X40" s="189">
        <f>NPV('1сел'!$X$1,B40:V40)</f>
        <v>47797917.545504265</v>
      </c>
    </row>
    <row r="41" spans="1:25" x14ac:dyDescent="0.25">
      <c r="A41" s="48" t="s">
        <v>268</v>
      </c>
      <c r="B41" s="37">
        <f>B37-B32</f>
        <v>-12000</v>
      </c>
      <c r="C41" s="37">
        <f t="shared" ref="C41:V43" si="15">C37-C32</f>
        <v>-3072</v>
      </c>
      <c r="D41" s="37">
        <f t="shared" si="15"/>
        <v>-4397</v>
      </c>
      <c r="E41" s="37">
        <f t="shared" si="15"/>
        <v>-4397</v>
      </c>
      <c r="F41" s="37">
        <f t="shared" si="15"/>
        <v>-56</v>
      </c>
      <c r="G41" s="37">
        <f t="shared" si="15"/>
        <v>-6.3</v>
      </c>
      <c r="H41" s="37">
        <f t="shared" si="15"/>
        <v>0</v>
      </c>
      <c r="I41" s="37">
        <f t="shared" si="15"/>
        <v>0</v>
      </c>
      <c r="J41" s="37">
        <f t="shared" si="15"/>
        <v>-2040</v>
      </c>
      <c r="K41" s="37">
        <f t="shared" si="15"/>
        <v>8500</v>
      </c>
      <c r="L41" s="37">
        <f t="shared" si="15"/>
        <v>8500</v>
      </c>
      <c r="M41" s="37">
        <f t="shared" si="15"/>
        <v>6460</v>
      </c>
      <c r="N41" s="37">
        <f t="shared" si="15"/>
        <v>8500</v>
      </c>
      <c r="O41" s="37">
        <f t="shared" si="15"/>
        <v>8500</v>
      </c>
      <c r="P41" s="37">
        <f t="shared" si="15"/>
        <v>6460</v>
      </c>
      <c r="Q41" s="37">
        <f t="shared" si="15"/>
        <v>8500</v>
      </c>
      <c r="R41" s="37">
        <f t="shared" si="15"/>
        <v>8500</v>
      </c>
      <c r="S41" s="37">
        <f t="shared" si="15"/>
        <v>6460</v>
      </c>
      <c r="T41" s="37">
        <f t="shared" si="15"/>
        <v>8500</v>
      </c>
      <c r="U41" s="37">
        <f t="shared" si="15"/>
        <v>8500</v>
      </c>
      <c r="V41" s="37">
        <f t="shared" si="15"/>
        <v>8500</v>
      </c>
      <c r="W41" s="189">
        <f t="shared" si="12"/>
        <v>69911.7</v>
      </c>
      <c r="X41" s="189">
        <f>NPV('1сел'!$X$1,B41:V41)</f>
        <v>45977.41270623295</v>
      </c>
    </row>
    <row r="42" spans="1:25" x14ac:dyDescent="0.25">
      <c r="A42" s="245" t="s">
        <v>269</v>
      </c>
      <c r="B42" s="245">
        <f>B38-B33</f>
        <v>1870000</v>
      </c>
      <c r="C42" s="245">
        <f t="shared" si="15"/>
        <v>1870000</v>
      </c>
      <c r="D42" s="245">
        <f t="shared" si="15"/>
        <v>1870000</v>
      </c>
      <c r="E42" s="245">
        <f t="shared" si="15"/>
        <v>1870000</v>
      </c>
      <c r="F42" s="245">
        <f t="shared" si="15"/>
        <v>1870000</v>
      </c>
      <c r="G42" s="245">
        <f t="shared" si="15"/>
        <v>1870000</v>
      </c>
      <c r="H42" s="245">
        <f t="shared" si="15"/>
        <v>1870000</v>
      </c>
      <c r="I42" s="245">
        <f t="shared" si="15"/>
        <v>1870000</v>
      </c>
      <c r="J42" s="245">
        <f t="shared" si="15"/>
        <v>1870000</v>
      </c>
      <c r="K42" s="245">
        <f t="shared" si="15"/>
        <v>1921000</v>
      </c>
      <c r="L42" s="245">
        <f t="shared" si="15"/>
        <v>1921000</v>
      </c>
      <c r="M42" s="245">
        <f t="shared" si="15"/>
        <v>1921000</v>
      </c>
      <c r="N42" s="245">
        <f t="shared" si="15"/>
        <v>1921000</v>
      </c>
      <c r="O42" s="245">
        <f t="shared" si="15"/>
        <v>1921000</v>
      </c>
      <c r="P42" s="245">
        <f t="shared" si="15"/>
        <v>1921000</v>
      </c>
      <c r="Q42" s="245">
        <f t="shared" si="15"/>
        <v>1921000</v>
      </c>
      <c r="R42" s="245">
        <f t="shared" si="15"/>
        <v>1921000</v>
      </c>
      <c r="S42" s="245">
        <f t="shared" si="15"/>
        <v>1921000</v>
      </c>
      <c r="T42" s="245">
        <f t="shared" si="15"/>
        <v>1921000</v>
      </c>
      <c r="U42" s="245">
        <f t="shared" si="15"/>
        <v>1921000</v>
      </c>
      <c r="V42" s="245">
        <f t="shared" si="15"/>
        <v>1921000</v>
      </c>
      <c r="W42" s="189">
        <f t="shared" si="12"/>
        <v>39882000</v>
      </c>
      <c r="X42" s="189">
        <f>NPV('1сел'!$X$1,B42:V42)</f>
        <v>32262258.726966508</v>
      </c>
    </row>
    <row r="43" spans="1:25" s="147" customFormat="1" x14ac:dyDescent="0.25">
      <c r="A43" s="272" t="s">
        <v>270</v>
      </c>
      <c r="B43" s="273">
        <f>B39-B34</f>
        <v>0</v>
      </c>
      <c r="C43" s="273">
        <f t="shared" si="15"/>
        <v>0</v>
      </c>
      <c r="D43" s="273">
        <f t="shared" si="15"/>
        <v>0</v>
      </c>
      <c r="E43" s="273">
        <f t="shared" si="15"/>
        <v>0</v>
      </c>
      <c r="F43" s="273">
        <f t="shared" si="15"/>
        <v>0</v>
      </c>
      <c r="G43" s="273">
        <f t="shared" si="15"/>
        <v>0</v>
      </c>
      <c r="H43" s="273">
        <f t="shared" si="15"/>
        <v>0</v>
      </c>
      <c r="I43" s="273">
        <f t="shared" si="15"/>
        <v>-800.00000000000011</v>
      </c>
      <c r="J43" s="273">
        <f t="shared" si="15"/>
        <v>1240</v>
      </c>
      <c r="K43" s="273">
        <f t="shared" si="15"/>
        <v>0</v>
      </c>
      <c r="L43" s="273">
        <f t="shared" si="15"/>
        <v>-800.00000000000011</v>
      </c>
      <c r="M43" s="273">
        <f t="shared" si="15"/>
        <v>1240</v>
      </c>
      <c r="N43" s="273">
        <f t="shared" si="15"/>
        <v>0</v>
      </c>
      <c r="O43" s="273">
        <f t="shared" si="15"/>
        <v>-800.00000000000011</v>
      </c>
      <c r="P43" s="273">
        <f t="shared" si="15"/>
        <v>1240</v>
      </c>
      <c r="Q43" s="273">
        <f t="shared" si="15"/>
        <v>0</v>
      </c>
      <c r="R43" s="273">
        <f t="shared" si="15"/>
        <v>-800.00000000000011</v>
      </c>
      <c r="S43" s="273">
        <f t="shared" si="15"/>
        <v>1240</v>
      </c>
      <c r="T43" s="273">
        <f t="shared" si="15"/>
        <v>0</v>
      </c>
      <c r="U43" s="273">
        <f t="shared" si="15"/>
        <v>0</v>
      </c>
      <c r="V43" s="273">
        <f t="shared" si="15"/>
        <v>0</v>
      </c>
      <c r="W43" s="270">
        <f t="shared" si="12"/>
        <v>1759.9999999999995</v>
      </c>
      <c r="X43" s="270">
        <f>NPV('1сел'!$X$1,B43:V43)</f>
        <v>1301.0111596771853</v>
      </c>
      <c r="Y43" s="145"/>
    </row>
    <row r="44" spans="1:25" x14ac:dyDescent="0.25">
      <c r="A44" s="48" t="s">
        <v>271</v>
      </c>
      <c r="B44" s="37">
        <f>SUM(B41:B43)</f>
        <v>1858000</v>
      </c>
      <c r="C44" s="37">
        <f t="shared" ref="C44:V44" si="16">SUM(C41:C43)</f>
        <v>1866928</v>
      </c>
      <c r="D44" s="37">
        <f t="shared" si="16"/>
        <v>1865603</v>
      </c>
      <c r="E44" s="37">
        <f t="shared" si="16"/>
        <v>1865603</v>
      </c>
      <c r="F44" s="37">
        <f t="shared" si="16"/>
        <v>1869944</v>
      </c>
      <c r="G44" s="37">
        <f t="shared" si="16"/>
        <v>1869993.7</v>
      </c>
      <c r="H44" s="37">
        <f t="shared" si="16"/>
        <v>1870000</v>
      </c>
      <c r="I44" s="37">
        <f t="shared" si="16"/>
        <v>1869200</v>
      </c>
      <c r="J44" s="37">
        <f>SUM(J41:J43)</f>
        <v>1869200</v>
      </c>
      <c r="K44" s="37">
        <f t="shared" si="16"/>
        <v>1929500</v>
      </c>
      <c r="L44" s="37">
        <f t="shared" si="16"/>
        <v>1928700</v>
      </c>
      <c r="M44" s="37">
        <f t="shared" si="16"/>
        <v>1928700</v>
      </c>
      <c r="N44" s="37">
        <f t="shared" si="16"/>
        <v>1929500</v>
      </c>
      <c r="O44" s="37">
        <f t="shared" si="16"/>
        <v>1928700</v>
      </c>
      <c r="P44" s="37">
        <f t="shared" si="16"/>
        <v>1928700</v>
      </c>
      <c r="Q44" s="37">
        <f t="shared" si="16"/>
        <v>1929500</v>
      </c>
      <c r="R44" s="37">
        <f t="shared" si="16"/>
        <v>1928700</v>
      </c>
      <c r="S44" s="37">
        <f t="shared" si="16"/>
        <v>1928700</v>
      </c>
      <c r="T44" s="37">
        <f t="shared" si="16"/>
        <v>1929500</v>
      </c>
      <c r="U44" s="37">
        <f t="shared" si="16"/>
        <v>1929500</v>
      </c>
      <c r="V44" s="37">
        <f t="shared" si="16"/>
        <v>1929500</v>
      </c>
      <c r="W44" s="189">
        <f t="shared" si="12"/>
        <v>39953671.700000003</v>
      </c>
      <c r="X44" s="189">
        <f>NPV('1сел'!$X$1,B44:V44)</f>
        <v>32309537.150832415</v>
      </c>
    </row>
    <row r="45" spans="1:25" x14ac:dyDescent="0.25">
      <c r="A45" s="195" t="s">
        <v>318</v>
      </c>
      <c r="B45" s="196">
        <f t="shared" ref="B45:V45" si="17">B51-B44</f>
        <v>0</v>
      </c>
      <c r="C45" s="196">
        <f t="shared" si="17"/>
        <v>0</v>
      </c>
      <c r="D45" s="196">
        <f t="shared" si="17"/>
        <v>0</v>
      </c>
      <c r="E45" s="196">
        <f t="shared" si="17"/>
        <v>0</v>
      </c>
      <c r="F45" s="196">
        <f t="shared" si="17"/>
        <v>0</v>
      </c>
      <c r="G45" s="196">
        <f t="shared" si="17"/>
        <v>0</v>
      </c>
      <c r="H45" s="196">
        <f t="shared" si="17"/>
        <v>0</v>
      </c>
      <c r="I45" s="196">
        <f t="shared" si="17"/>
        <v>0</v>
      </c>
      <c r="J45" s="263">
        <f t="shared" si="17"/>
        <v>0</v>
      </c>
      <c r="K45" s="196">
        <f t="shared" si="17"/>
        <v>0</v>
      </c>
      <c r="L45" s="196">
        <f t="shared" si="17"/>
        <v>0</v>
      </c>
      <c r="M45" s="196">
        <f t="shared" si="17"/>
        <v>0</v>
      </c>
      <c r="N45" s="196">
        <f t="shared" si="17"/>
        <v>0</v>
      </c>
      <c r="O45" s="196">
        <f t="shared" si="17"/>
        <v>0</v>
      </c>
      <c r="P45" s="196">
        <f t="shared" si="17"/>
        <v>0</v>
      </c>
      <c r="Q45" s="196">
        <f t="shared" si="17"/>
        <v>0</v>
      </c>
      <c r="R45" s="196">
        <f t="shared" si="17"/>
        <v>0</v>
      </c>
      <c r="S45" s="196">
        <f t="shared" si="17"/>
        <v>0</v>
      </c>
      <c r="T45" s="196">
        <f t="shared" si="17"/>
        <v>0</v>
      </c>
      <c r="U45" s="196">
        <f t="shared" si="17"/>
        <v>0</v>
      </c>
      <c r="V45" s="196">
        <f t="shared" si="17"/>
        <v>0</v>
      </c>
      <c r="W45" s="189">
        <f t="shared" si="12"/>
        <v>0</v>
      </c>
      <c r="X45" s="189">
        <f>NPV('1сел'!$X$1,B45:V45)</f>
        <v>0</v>
      </c>
    </row>
    <row r="46" spans="1:25" x14ac:dyDescent="0.25">
      <c r="A46" s="48" t="s">
        <v>272</v>
      </c>
      <c r="B46" s="48">
        <f>B40-B35</f>
        <v>1858000</v>
      </c>
      <c r="C46" s="48">
        <f t="shared" ref="C46:V46" si="18">C40-C35</f>
        <v>1866928</v>
      </c>
      <c r="D46" s="48">
        <f t="shared" si="18"/>
        <v>1865603</v>
      </c>
      <c r="E46" s="48">
        <f t="shared" si="18"/>
        <v>1865603</v>
      </c>
      <c r="F46" s="48">
        <f t="shared" si="18"/>
        <v>1869944</v>
      </c>
      <c r="G46" s="48">
        <f t="shared" si="18"/>
        <v>1869993.7</v>
      </c>
      <c r="H46" s="48">
        <f t="shared" si="18"/>
        <v>1870000</v>
      </c>
      <c r="I46" s="48">
        <f t="shared" si="18"/>
        <v>1869200</v>
      </c>
      <c r="J46" s="48">
        <f t="shared" si="18"/>
        <v>1869200</v>
      </c>
      <c r="K46" s="48">
        <f t="shared" si="18"/>
        <v>1929500</v>
      </c>
      <c r="L46" s="48">
        <f t="shared" si="18"/>
        <v>1928700</v>
      </c>
      <c r="M46" s="48">
        <f t="shared" si="18"/>
        <v>1928700</v>
      </c>
      <c r="N46" s="48">
        <f t="shared" si="18"/>
        <v>1929500</v>
      </c>
      <c r="O46" s="48">
        <f t="shared" si="18"/>
        <v>1928700</v>
      </c>
      <c r="P46" s="48">
        <f t="shared" si="18"/>
        <v>1928700</v>
      </c>
      <c r="Q46" s="48">
        <f t="shared" si="18"/>
        <v>1929500</v>
      </c>
      <c r="R46" s="48">
        <f t="shared" si="18"/>
        <v>1928700</v>
      </c>
      <c r="S46" s="48">
        <f t="shared" si="18"/>
        <v>1928700</v>
      </c>
      <c r="T46" s="48">
        <f t="shared" si="18"/>
        <v>1929500</v>
      </c>
      <c r="U46" s="48">
        <f t="shared" si="18"/>
        <v>1929500</v>
      </c>
      <c r="V46" s="48">
        <f t="shared" si="18"/>
        <v>1929500</v>
      </c>
      <c r="W46" s="189">
        <f t="shared" si="12"/>
        <v>39953671.700000003</v>
      </c>
      <c r="X46" s="189">
        <f>NPV('1сел'!$X$1,B46:V46)</f>
        <v>32309537.150832415</v>
      </c>
    </row>
    <row r="47" spans="1:25" x14ac:dyDescent="0.25">
      <c r="A47" s="274" t="s">
        <v>328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9"/>
      <c r="X47" s="199"/>
    </row>
    <row r="48" spans="1:25" x14ac:dyDescent="0.25">
      <c r="A48" s="39" t="s">
        <v>85</v>
      </c>
      <c r="B48" s="58">
        <f>B37-B32</f>
        <v>-12000</v>
      </c>
      <c r="C48" s="58">
        <f t="shared" ref="C48:V50" si="19">C37-C32</f>
        <v>-3072</v>
      </c>
      <c r="D48" s="58">
        <f t="shared" si="19"/>
        <v>-4397</v>
      </c>
      <c r="E48" s="58">
        <f t="shared" si="19"/>
        <v>-4397</v>
      </c>
      <c r="F48" s="58">
        <f t="shared" si="19"/>
        <v>-56</v>
      </c>
      <c r="G48" s="58">
        <f t="shared" si="19"/>
        <v>-6.3</v>
      </c>
      <c r="H48" s="58">
        <f t="shared" si="19"/>
        <v>0</v>
      </c>
      <c r="I48" s="58">
        <f t="shared" si="19"/>
        <v>0</v>
      </c>
      <c r="J48" s="58">
        <f t="shared" si="19"/>
        <v>-2040</v>
      </c>
      <c r="K48" s="58">
        <f t="shared" si="19"/>
        <v>8500</v>
      </c>
      <c r="L48" s="58">
        <f t="shared" si="19"/>
        <v>8500</v>
      </c>
      <c r="M48" s="58">
        <f t="shared" si="19"/>
        <v>6460</v>
      </c>
      <c r="N48" s="58">
        <f t="shared" si="19"/>
        <v>8500</v>
      </c>
      <c r="O48" s="58">
        <f t="shared" si="19"/>
        <v>8500</v>
      </c>
      <c r="P48" s="58">
        <f t="shared" si="19"/>
        <v>6460</v>
      </c>
      <c r="Q48" s="58">
        <f t="shared" si="19"/>
        <v>8500</v>
      </c>
      <c r="R48" s="58">
        <f t="shared" si="19"/>
        <v>8500</v>
      </c>
      <c r="S48" s="58">
        <f t="shared" si="19"/>
        <v>6460</v>
      </c>
      <c r="T48" s="58">
        <f t="shared" si="19"/>
        <v>8500</v>
      </c>
      <c r="U48" s="58">
        <f t="shared" si="19"/>
        <v>8500</v>
      </c>
      <c r="V48" s="58">
        <f t="shared" si="19"/>
        <v>8500</v>
      </c>
      <c r="W48" s="199">
        <f>SUM(B48:V48)</f>
        <v>69911.7</v>
      </c>
      <c r="X48" s="199">
        <f>NPV('1сел'!$X$1,B48:V48)</f>
        <v>45977.41270623295</v>
      </c>
    </row>
    <row r="49" spans="1:25" x14ac:dyDescent="0.25">
      <c r="A49" s="38" t="s">
        <v>86</v>
      </c>
      <c r="B49" s="58">
        <f>B38-B33</f>
        <v>1870000</v>
      </c>
      <c r="C49" s="58">
        <f t="shared" si="19"/>
        <v>1870000</v>
      </c>
      <c r="D49" s="58">
        <f t="shared" si="19"/>
        <v>1870000</v>
      </c>
      <c r="E49" s="58">
        <f t="shared" si="19"/>
        <v>1870000</v>
      </c>
      <c r="F49" s="58">
        <f t="shared" si="19"/>
        <v>1870000</v>
      </c>
      <c r="G49" s="58">
        <f t="shared" si="19"/>
        <v>1870000</v>
      </c>
      <c r="H49" s="58">
        <f t="shared" si="19"/>
        <v>1870000</v>
      </c>
      <c r="I49" s="58">
        <f t="shared" si="19"/>
        <v>1870000</v>
      </c>
      <c r="J49" s="58">
        <f t="shared" si="19"/>
        <v>1870000</v>
      </c>
      <c r="K49" s="58">
        <f t="shared" si="19"/>
        <v>1921000</v>
      </c>
      <c r="L49" s="58">
        <f t="shared" si="19"/>
        <v>1921000</v>
      </c>
      <c r="M49" s="58">
        <f t="shared" si="19"/>
        <v>1921000</v>
      </c>
      <c r="N49" s="58">
        <f t="shared" si="19"/>
        <v>1921000</v>
      </c>
      <c r="O49" s="58">
        <f t="shared" si="19"/>
        <v>1921000</v>
      </c>
      <c r="P49" s="58">
        <f t="shared" si="19"/>
        <v>1921000</v>
      </c>
      <c r="Q49" s="58">
        <f t="shared" si="19"/>
        <v>1921000</v>
      </c>
      <c r="R49" s="58">
        <f t="shared" si="19"/>
        <v>1921000</v>
      </c>
      <c r="S49" s="58">
        <f t="shared" si="19"/>
        <v>1921000</v>
      </c>
      <c r="T49" s="58">
        <f t="shared" si="19"/>
        <v>1921000</v>
      </c>
      <c r="U49" s="58">
        <f t="shared" si="19"/>
        <v>1921000</v>
      </c>
      <c r="V49" s="58">
        <f t="shared" si="19"/>
        <v>1921000</v>
      </c>
      <c r="W49" s="199">
        <f>SUM(B49:V49)</f>
        <v>39882000</v>
      </c>
      <c r="X49" s="199">
        <f>NPV('1сел'!$X$1,B49:V49)</f>
        <v>32262258.726966508</v>
      </c>
    </row>
    <row r="50" spans="1:25" x14ac:dyDescent="0.25">
      <c r="A50" s="38" t="s">
        <v>87</v>
      </c>
      <c r="B50" s="58">
        <f>B39-B34</f>
        <v>0</v>
      </c>
      <c r="C50" s="58">
        <f t="shared" si="19"/>
        <v>0</v>
      </c>
      <c r="D50" s="58">
        <f t="shared" si="19"/>
        <v>0</v>
      </c>
      <c r="E50" s="58">
        <f t="shared" si="19"/>
        <v>0</v>
      </c>
      <c r="F50" s="58">
        <f t="shared" si="19"/>
        <v>0</v>
      </c>
      <c r="G50" s="58">
        <f t="shared" si="19"/>
        <v>0</v>
      </c>
      <c r="H50" s="58">
        <f t="shared" si="19"/>
        <v>0</v>
      </c>
      <c r="I50" s="58">
        <f t="shared" si="19"/>
        <v>-800.00000000000011</v>
      </c>
      <c r="J50" s="58">
        <f t="shared" si="19"/>
        <v>1240</v>
      </c>
      <c r="K50" s="58">
        <f t="shared" si="19"/>
        <v>0</v>
      </c>
      <c r="L50" s="58">
        <f t="shared" si="19"/>
        <v>-800.00000000000011</v>
      </c>
      <c r="M50" s="58">
        <f t="shared" si="19"/>
        <v>1240</v>
      </c>
      <c r="N50" s="58">
        <f t="shared" si="19"/>
        <v>0</v>
      </c>
      <c r="O50" s="58">
        <f t="shared" si="19"/>
        <v>-800.00000000000011</v>
      </c>
      <c r="P50" s="58">
        <f t="shared" si="19"/>
        <v>1240</v>
      </c>
      <c r="Q50" s="58">
        <f t="shared" si="19"/>
        <v>0</v>
      </c>
      <c r="R50" s="58">
        <f t="shared" si="19"/>
        <v>-800.00000000000011</v>
      </c>
      <c r="S50" s="58">
        <f t="shared" si="19"/>
        <v>1240</v>
      </c>
      <c r="T50" s="58">
        <f t="shared" si="19"/>
        <v>0</v>
      </c>
      <c r="U50" s="58">
        <f t="shared" si="19"/>
        <v>0</v>
      </c>
      <c r="V50" s="58">
        <f t="shared" si="19"/>
        <v>0</v>
      </c>
      <c r="W50" s="199">
        <f>SUM(B50:V50)</f>
        <v>1759.9999999999995</v>
      </c>
      <c r="X50" s="199">
        <f>NPV('1сел'!$X$1,B50:V50)</f>
        <v>1301.0111596771853</v>
      </c>
    </row>
    <row r="51" spans="1:25" x14ac:dyDescent="0.25">
      <c r="A51" s="95" t="s">
        <v>88</v>
      </c>
      <c r="B51" s="275">
        <f t="shared" ref="B51:V51" si="20">SUM(B48:B50)</f>
        <v>1858000</v>
      </c>
      <c r="C51" s="275">
        <f t="shared" si="20"/>
        <v>1866928</v>
      </c>
      <c r="D51" s="275">
        <f t="shared" si="20"/>
        <v>1865603</v>
      </c>
      <c r="E51" s="275">
        <f t="shared" si="20"/>
        <v>1865603</v>
      </c>
      <c r="F51" s="275">
        <f t="shared" si="20"/>
        <v>1869944</v>
      </c>
      <c r="G51" s="275">
        <f t="shared" si="20"/>
        <v>1869993.7</v>
      </c>
      <c r="H51" s="275">
        <f t="shared" si="20"/>
        <v>1870000</v>
      </c>
      <c r="I51" s="275">
        <f t="shared" si="20"/>
        <v>1869200</v>
      </c>
      <c r="J51" s="275">
        <f>SUM(J48:J50)</f>
        <v>1869200</v>
      </c>
      <c r="K51" s="275">
        <f t="shared" si="20"/>
        <v>1929500</v>
      </c>
      <c r="L51" s="275">
        <f t="shared" si="20"/>
        <v>1928700</v>
      </c>
      <c r="M51" s="275">
        <f t="shared" si="20"/>
        <v>1928700</v>
      </c>
      <c r="N51" s="275">
        <f t="shared" si="20"/>
        <v>1929500</v>
      </c>
      <c r="O51" s="275">
        <f t="shared" si="20"/>
        <v>1928700</v>
      </c>
      <c r="P51" s="275">
        <f t="shared" si="20"/>
        <v>1928700</v>
      </c>
      <c r="Q51" s="275">
        <f t="shared" si="20"/>
        <v>1929500</v>
      </c>
      <c r="R51" s="275">
        <f t="shared" si="20"/>
        <v>1928700</v>
      </c>
      <c r="S51" s="275">
        <f t="shared" si="20"/>
        <v>1928700</v>
      </c>
      <c r="T51" s="275">
        <f t="shared" si="20"/>
        <v>1929500</v>
      </c>
      <c r="U51" s="275">
        <f t="shared" si="20"/>
        <v>1929500</v>
      </c>
      <c r="V51" s="275">
        <f t="shared" si="20"/>
        <v>1929500</v>
      </c>
      <c r="W51" s="199">
        <f>SUM(B51:V51)</f>
        <v>39953671.700000003</v>
      </c>
      <c r="X51" s="199">
        <f>NPV('1сел'!$X$1,B51:V51)</f>
        <v>32309537.150832415</v>
      </c>
    </row>
    <row r="52" spans="1:25" x14ac:dyDescent="0.25">
      <c r="A52" s="67" t="s">
        <v>366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199"/>
      <c r="X52" s="199"/>
    </row>
    <row r="53" spans="1:25" x14ac:dyDescent="0.25">
      <c r="A53" s="95" t="s">
        <v>329</v>
      </c>
      <c r="B53" s="275">
        <f>B48</f>
        <v>-12000</v>
      </c>
      <c r="C53" s="275">
        <f>B53+C48</f>
        <v>-15072</v>
      </c>
      <c r="D53" s="275">
        <f t="shared" ref="D53:V55" si="21">C53+D48</f>
        <v>-19469</v>
      </c>
      <c r="E53" s="275">
        <f t="shared" si="21"/>
        <v>-23866</v>
      </c>
      <c r="F53" s="275">
        <f t="shared" si="21"/>
        <v>-23922</v>
      </c>
      <c r="G53" s="275">
        <f t="shared" si="21"/>
        <v>-23928.3</v>
      </c>
      <c r="H53" s="275">
        <f t="shared" si="21"/>
        <v>-23928.3</v>
      </c>
      <c r="I53" s="275">
        <f t="shared" si="21"/>
        <v>-23928.3</v>
      </c>
      <c r="J53" s="275">
        <f t="shared" si="21"/>
        <v>-25968.3</v>
      </c>
      <c r="K53" s="275">
        <f t="shared" si="21"/>
        <v>-17468.3</v>
      </c>
      <c r="L53" s="275">
        <f t="shared" si="21"/>
        <v>-8968.2999999999993</v>
      </c>
      <c r="M53" s="275">
        <f t="shared" si="21"/>
        <v>-2508.2999999999993</v>
      </c>
      <c r="N53" s="275">
        <f t="shared" si="21"/>
        <v>5991.7000000000007</v>
      </c>
      <c r="O53" s="275">
        <f t="shared" si="21"/>
        <v>14491.7</v>
      </c>
      <c r="P53" s="275">
        <f t="shared" si="21"/>
        <v>20951.7</v>
      </c>
      <c r="Q53" s="275">
        <f t="shared" si="21"/>
        <v>29451.7</v>
      </c>
      <c r="R53" s="275">
        <f t="shared" si="21"/>
        <v>37951.699999999997</v>
      </c>
      <c r="S53" s="275">
        <f t="shared" si="21"/>
        <v>44411.7</v>
      </c>
      <c r="T53" s="275">
        <f t="shared" si="21"/>
        <v>52911.7</v>
      </c>
      <c r="U53" s="275">
        <f t="shared" si="21"/>
        <v>61411.7</v>
      </c>
      <c r="V53" s="275">
        <f t="shared" si="21"/>
        <v>69911.7</v>
      </c>
      <c r="W53" s="276" t="s">
        <v>334</v>
      </c>
      <c r="X53" s="276">
        <f>MIN(B53:V53)</f>
        <v>-25968.3</v>
      </c>
    </row>
    <row r="54" spans="1:25" x14ac:dyDescent="0.25">
      <c r="A54" s="95" t="s">
        <v>330</v>
      </c>
      <c r="B54" s="275">
        <f>B49</f>
        <v>1870000</v>
      </c>
      <c r="C54" s="275">
        <f>B54+C49</f>
        <v>3740000</v>
      </c>
      <c r="D54" s="275">
        <f t="shared" si="21"/>
        <v>5610000</v>
      </c>
      <c r="E54" s="275">
        <f t="shared" si="21"/>
        <v>7480000</v>
      </c>
      <c r="F54" s="275">
        <f t="shared" si="21"/>
        <v>9350000</v>
      </c>
      <c r="G54" s="275">
        <f t="shared" si="21"/>
        <v>11220000</v>
      </c>
      <c r="H54" s="275">
        <f t="shared" si="21"/>
        <v>13090000</v>
      </c>
      <c r="I54" s="275">
        <f t="shared" si="21"/>
        <v>14960000</v>
      </c>
      <c r="J54" s="275">
        <f t="shared" si="21"/>
        <v>16830000</v>
      </c>
      <c r="K54" s="275">
        <f t="shared" si="21"/>
        <v>18751000</v>
      </c>
      <c r="L54" s="275">
        <f t="shared" si="21"/>
        <v>20672000</v>
      </c>
      <c r="M54" s="275">
        <f t="shared" si="21"/>
        <v>22593000</v>
      </c>
      <c r="N54" s="275">
        <f t="shared" si="21"/>
        <v>24514000</v>
      </c>
      <c r="O54" s="275">
        <f t="shared" si="21"/>
        <v>26435000</v>
      </c>
      <c r="P54" s="275">
        <f t="shared" si="21"/>
        <v>28356000</v>
      </c>
      <c r="Q54" s="275">
        <f t="shared" si="21"/>
        <v>30277000</v>
      </c>
      <c r="R54" s="275">
        <f t="shared" si="21"/>
        <v>32198000</v>
      </c>
      <c r="S54" s="275">
        <f t="shared" si="21"/>
        <v>34119000</v>
      </c>
      <c r="T54" s="275">
        <f t="shared" si="21"/>
        <v>36040000</v>
      </c>
      <c r="U54" s="275">
        <f t="shared" si="21"/>
        <v>37961000</v>
      </c>
      <c r="V54" s="275">
        <f t="shared" si="21"/>
        <v>39882000</v>
      </c>
      <c r="W54" s="276" t="s">
        <v>334</v>
      </c>
      <c r="X54" s="276">
        <f>MIN(B54:V54)</f>
        <v>1870000</v>
      </c>
    </row>
    <row r="55" spans="1:25" x14ac:dyDescent="0.25">
      <c r="A55" s="95" t="s">
        <v>331</v>
      </c>
      <c r="B55" s="275">
        <f>B50</f>
        <v>0</v>
      </c>
      <c r="C55" s="275">
        <f>B55+C50</f>
        <v>0</v>
      </c>
      <c r="D55" s="275">
        <f t="shared" si="21"/>
        <v>0</v>
      </c>
      <c r="E55" s="275">
        <f t="shared" si="21"/>
        <v>0</v>
      </c>
      <c r="F55" s="275">
        <f t="shared" si="21"/>
        <v>0</v>
      </c>
      <c r="G55" s="275">
        <f t="shared" si="21"/>
        <v>0</v>
      </c>
      <c r="H55" s="275">
        <f t="shared" si="21"/>
        <v>0</v>
      </c>
      <c r="I55" s="275">
        <f t="shared" si="21"/>
        <v>-800.00000000000011</v>
      </c>
      <c r="J55" s="275">
        <f t="shared" si="21"/>
        <v>439.99999999999989</v>
      </c>
      <c r="K55" s="275">
        <f t="shared" si="21"/>
        <v>439.99999999999989</v>
      </c>
      <c r="L55" s="275">
        <f t="shared" si="21"/>
        <v>-360.00000000000023</v>
      </c>
      <c r="M55" s="275">
        <f t="shared" si="21"/>
        <v>879.99999999999977</v>
      </c>
      <c r="N55" s="275">
        <f t="shared" si="21"/>
        <v>879.99999999999977</v>
      </c>
      <c r="O55" s="275">
        <f t="shared" si="21"/>
        <v>79.999999999999659</v>
      </c>
      <c r="P55" s="275">
        <f t="shared" si="21"/>
        <v>1319.9999999999995</v>
      </c>
      <c r="Q55" s="275">
        <f t="shared" si="21"/>
        <v>1319.9999999999995</v>
      </c>
      <c r="R55" s="275">
        <f t="shared" si="21"/>
        <v>519.99999999999943</v>
      </c>
      <c r="S55" s="275">
        <f t="shared" si="21"/>
        <v>1759.9999999999995</v>
      </c>
      <c r="T55" s="275">
        <f t="shared" si="21"/>
        <v>1759.9999999999995</v>
      </c>
      <c r="U55" s="275">
        <f t="shared" si="21"/>
        <v>1759.9999999999995</v>
      </c>
      <c r="V55" s="275">
        <f t="shared" si="21"/>
        <v>1759.9999999999995</v>
      </c>
      <c r="W55" s="276" t="s">
        <v>334</v>
      </c>
      <c r="X55" s="276">
        <f>MIN(B55:V55)</f>
        <v>-800.00000000000011</v>
      </c>
    </row>
    <row r="56" spans="1:25" x14ac:dyDescent="0.25">
      <c r="A56" s="95" t="s">
        <v>332</v>
      </c>
      <c r="B56" s="275">
        <f>SUM(B53:B55)</f>
        <v>1858000</v>
      </c>
      <c r="C56" s="275">
        <f>B56+SUM(C48:C50)</f>
        <v>3724928</v>
      </c>
      <c r="D56" s="275">
        <f t="shared" ref="D56:S56" si="22">C56+SUM(D48:D50)</f>
        <v>5590531</v>
      </c>
      <c r="E56" s="275">
        <f t="shared" si="22"/>
        <v>7456134</v>
      </c>
      <c r="F56" s="275">
        <f t="shared" si="22"/>
        <v>9326078</v>
      </c>
      <c r="G56" s="275">
        <f t="shared" si="22"/>
        <v>11196071.699999999</v>
      </c>
      <c r="H56" s="275">
        <f t="shared" si="22"/>
        <v>13066071.699999999</v>
      </c>
      <c r="I56" s="275">
        <f t="shared" si="22"/>
        <v>14935271.699999999</v>
      </c>
      <c r="J56" s="275">
        <f t="shared" si="22"/>
        <v>16804471.699999999</v>
      </c>
      <c r="K56" s="275">
        <f t="shared" si="22"/>
        <v>18733971.699999999</v>
      </c>
      <c r="L56" s="275">
        <f t="shared" si="22"/>
        <v>20662671.699999999</v>
      </c>
      <c r="M56" s="275">
        <f t="shared" si="22"/>
        <v>22591371.699999999</v>
      </c>
      <c r="N56" s="275">
        <f t="shared" si="22"/>
        <v>24520871.699999999</v>
      </c>
      <c r="O56" s="275">
        <f t="shared" si="22"/>
        <v>26449571.699999999</v>
      </c>
      <c r="P56" s="275">
        <f t="shared" si="22"/>
        <v>28378271.699999999</v>
      </c>
      <c r="Q56" s="275">
        <f t="shared" si="22"/>
        <v>30307771.699999999</v>
      </c>
      <c r="R56" s="275">
        <f t="shared" si="22"/>
        <v>32236471.699999999</v>
      </c>
      <c r="S56" s="275">
        <f t="shared" si="22"/>
        <v>34165171.700000003</v>
      </c>
      <c r="T56" s="275">
        <f>S56+SUM(T48:T50)</f>
        <v>36094671.700000003</v>
      </c>
      <c r="U56" s="275">
        <f>T56+SUM(U48:U50)</f>
        <v>38024171.700000003</v>
      </c>
      <c r="V56" s="275">
        <f>U56+SUM(V48:V50)</f>
        <v>39953671.700000003</v>
      </c>
      <c r="W56" s="276" t="s">
        <v>334</v>
      </c>
      <c r="X56" s="276">
        <f>MIN(B56:V56)</f>
        <v>1858000</v>
      </c>
    </row>
    <row r="57" spans="1:25" x14ac:dyDescent="0.25">
      <c r="A57" s="95" t="s">
        <v>333</v>
      </c>
      <c r="B57" s="275">
        <f>B51</f>
        <v>1858000</v>
      </c>
      <c r="C57" s="275">
        <f>B57+C51</f>
        <v>3724928</v>
      </c>
      <c r="D57" s="275">
        <f t="shared" ref="D57:V57" si="23">C57+D51</f>
        <v>5590531</v>
      </c>
      <c r="E57" s="275">
        <f t="shared" si="23"/>
        <v>7456134</v>
      </c>
      <c r="F57" s="275">
        <f t="shared" si="23"/>
        <v>9326078</v>
      </c>
      <c r="G57" s="275">
        <f t="shared" si="23"/>
        <v>11196071.699999999</v>
      </c>
      <c r="H57" s="275">
        <f t="shared" si="23"/>
        <v>13066071.699999999</v>
      </c>
      <c r="I57" s="275">
        <f t="shared" si="23"/>
        <v>14935271.699999999</v>
      </c>
      <c r="J57" s="275">
        <f t="shared" si="23"/>
        <v>16804471.699999999</v>
      </c>
      <c r="K57" s="275">
        <f t="shared" si="23"/>
        <v>18733971.699999999</v>
      </c>
      <c r="L57" s="275">
        <f t="shared" si="23"/>
        <v>20662671.699999999</v>
      </c>
      <c r="M57" s="275">
        <f t="shared" si="23"/>
        <v>22591371.699999999</v>
      </c>
      <c r="N57" s="275">
        <f t="shared" si="23"/>
        <v>24520871.699999999</v>
      </c>
      <c r="O57" s="275">
        <f t="shared" si="23"/>
        <v>26449571.699999999</v>
      </c>
      <c r="P57" s="275">
        <f t="shared" si="23"/>
        <v>28378271.699999999</v>
      </c>
      <c r="Q57" s="275">
        <f t="shared" si="23"/>
        <v>30307771.699999999</v>
      </c>
      <c r="R57" s="275">
        <f t="shared" si="23"/>
        <v>32236471.699999999</v>
      </c>
      <c r="S57" s="275">
        <f t="shared" si="23"/>
        <v>34165171.700000003</v>
      </c>
      <c r="T57" s="275">
        <f t="shared" si="23"/>
        <v>36094671.700000003</v>
      </c>
      <c r="U57" s="275">
        <f t="shared" si="23"/>
        <v>38024171.700000003</v>
      </c>
      <c r="V57" s="275">
        <f t="shared" si="23"/>
        <v>39953671.700000003</v>
      </c>
      <c r="W57" s="276" t="s">
        <v>334</v>
      </c>
      <c r="X57" s="276">
        <f>MIN(B57:V57)</f>
        <v>1858000</v>
      </c>
    </row>
    <row r="58" spans="1:25" s="284" customFormat="1" x14ac:dyDescent="0.25">
      <c r="A58" s="281" t="s">
        <v>347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3"/>
      <c r="X58" s="283"/>
      <c r="Y58" s="47"/>
    </row>
    <row r="59" spans="1:25" x14ac:dyDescent="0.25">
      <c r="A59" s="278" t="s">
        <v>342</v>
      </c>
      <c r="B59" s="64">
        <f t="shared" ref="B59:Q62" si="24">IF(AND(B53&lt;0,C53&gt;0),B$2+(-B53/(-B53+C53)),0)</f>
        <v>0</v>
      </c>
      <c r="C59" s="64">
        <f t="shared" si="24"/>
        <v>0</v>
      </c>
      <c r="D59" s="64">
        <f t="shared" si="24"/>
        <v>0</v>
      </c>
      <c r="E59" s="64">
        <f t="shared" si="24"/>
        <v>0</v>
      </c>
      <c r="F59" s="64">
        <f t="shared" si="24"/>
        <v>0</v>
      </c>
      <c r="G59" s="64">
        <f t="shared" si="24"/>
        <v>0</v>
      </c>
      <c r="H59" s="64">
        <f t="shared" si="24"/>
        <v>0</v>
      </c>
      <c r="I59" s="64">
        <f t="shared" si="24"/>
        <v>0</v>
      </c>
      <c r="J59" s="64">
        <f t="shared" si="24"/>
        <v>0</v>
      </c>
      <c r="K59" s="64">
        <f t="shared" si="24"/>
        <v>0</v>
      </c>
      <c r="L59" s="64">
        <f t="shared" si="24"/>
        <v>0</v>
      </c>
      <c r="M59" s="64">
        <f>IF(AND(M53&lt;0,N53&gt;0),M$2+(-M53/(-M53+N53)),0)</f>
        <v>12.295094117647059</v>
      </c>
      <c r="N59" s="64">
        <f t="shared" ref="N59:S62" si="25">IF(AND(N53&lt;0,O53&gt;0),N$2+(-N53/(-N53+O53)),0)</f>
        <v>0</v>
      </c>
      <c r="O59" s="64">
        <f t="shared" si="25"/>
        <v>0</v>
      </c>
      <c r="P59" s="64">
        <f t="shared" si="25"/>
        <v>0</v>
      </c>
      <c r="Q59" s="64">
        <f t="shared" si="25"/>
        <v>0</v>
      </c>
      <c r="R59" s="64">
        <f t="shared" si="25"/>
        <v>0</v>
      </c>
      <c r="S59" s="64">
        <f t="shared" si="25"/>
        <v>0</v>
      </c>
      <c r="T59" s="64">
        <f t="shared" ref="T59:V62" si="26">IF(AND(T53&lt;0,V53&gt;0),T$2+(-T53/(-T53+V53)),0)</f>
        <v>0</v>
      </c>
      <c r="U59" s="64">
        <f t="shared" si="26"/>
        <v>0</v>
      </c>
      <c r="V59" s="64">
        <f t="shared" si="26"/>
        <v>0</v>
      </c>
      <c r="W59" s="279" t="s">
        <v>346</v>
      </c>
      <c r="X59" s="280">
        <f>MAX(B59:V59)</f>
        <v>12.295094117647059</v>
      </c>
    </row>
    <row r="60" spans="1:25" x14ac:dyDescent="0.25">
      <c r="A60" s="278" t="s">
        <v>343</v>
      </c>
      <c r="B60" s="64">
        <f t="shared" si="24"/>
        <v>0</v>
      </c>
      <c r="C60" s="64">
        <f t="shared" si="24"/>
        <v>0</v>
      </c>
      <c r="D60" s="64">
        <f t="shared" si="24"/>
        <v>0</v>
      </c>
      <c r="E60" s="64">
        <f t="shared" si="24"/>
        <v>0</v>
      </c>
      <c r="F60" s="64">
        <f t="shared" si="24"/>
        <v>0</v>
      </c>
      <c r="G60" s="64">
        <f t="shared" si="24"/>
        <v>0</v>
      </c>
      <c r="H60" s="64">
        <f t="shared" si="24"/>
        <v>0</v>
      </c>
      <c r="I60" s="64">
        <f t="shared" si="24"/>
        <v>0</v>
      </c>
      <c r="J60" s="64">
        <f t="shared" si="24"/>
        <v>0</v>
      </c>
      <c r="K60" s="64">
        <f t="shared" si="24"/>
        <v>0</v>
      </c>
      <c r="L60" s="64">
        <f t="shared" si="24"/>
        <v>0</v>
      </c>
      <c r="M60" s="64">
        <f t="shared" si="24"/>
        <v>0</v>
      </c>
      <c r="N60" s="64">
        <f t="shared" si="24"/>
        <v>0</v>
      </c>
      <c r="O60" s="64">
        <f t="shared" si="24"/>
        <v>0</v>
      </c>
      <c r="P60" s="64">
        <f t="shared" si="24"/>
        <v>0</v>
      </c>
      <c r="Q60" s="64">
        <f t="shared" si="24"/>
        <v>0</v>
      </c>
      <c r="R60" s="64">
        <f t="shared" si="25"/>
        <v>0</v>
      </c>
      <c r="S60" s="64">
        <f t="shared" si="25"/>
        <v>0</v>
      </c>
      <c r="T60" s="64">
        <f t="shared" si="26"/>
        <v>0</v>
      </c>
      <c r="U60" s="64">
        <f t="shared" si="26"/>
        <v>0</v>
      </c>
      <c r="V60" s="64">
        <f t="shared" si="26"/>
        <v>0</v>
      </c>
      <c r="W60" s="279" t="s">
        <v>346</v>
      </c>
      <c r="X60" s="280">
        <f>MAX(B60:V60)</f>
        <v>0</v>
      </c>
    </row>
    <row r="61" spans="1:25" x14ac:dyDescent="0.25">
      <c r="A61" s="278" t="s">
        <v>344</v>
      </c>
      <c r="B61" s="64">
        <f t="shared" si="24"/>
        <v>0</v>
      </c>
      <c r="C61" s="64">
        <f t="shared" si="24"/>
        <v>0</v>
      </c>
      <c r="D61" s="64">
        <f t="shared" si="24"/>
        <v>0</v>
      </c>
      <c r="E61" s="64">
        <f t="shared" si="24"/>
        <v>0</v>
      </c>
      <c r="F61" s="64">
        <f t="shared" si="24"/>
        <v>0</v>
      </c>
      <c r="G61" s="64">
        <f t="shared" si="24"/>
        <v>0</v>
      </c>
      <c r="H61" s="64">
        <f t="shared" si="24"/>
        <v>0</v>
      </c>
      <c r="I61" s="64">
        <f t="shared" si="24"/>
        <v>8.6451612903225801</v>
      </c>
      <c r="J61" s="64">
        <f t="shared" si="24"/>
        <v>0</v>
      </c>
      <c r="K61" s="64">
        <f t="shared" si="24"/>
        <v>0</v>
      </c>
      <c r="L61" s="64">
        <f t="shared" si="24"/>
        <v>11.290322580645162</v>
      </c>
      <c r="M61" s="64">
        <f t="shared" si="24"/>
        <v>0</v>
      </c>
      <c r="N61" s="64">
        <f t="shared" si="24"/>
        <v>0</v>
      </c>
      <c r="O61" s="64">
        <f t="shared" si="24"/>
        <v>0</v>
      </c>
      <c r="P61" s="64">
        <f t="shared" si="24"/>
        <v>0</v>
      </c>
      <c r="Q61" s="64">
        <f t="shared" si="24"/>
        <v>0</v>
      </c>
      <c r="R61" s="64">
        <f t="shared" si="25"/>
        <v>0</v>
      </c>
      <c r="S61" s="64">
        <f t="shared" si="25"/>
        <v>0</v>
      </c>
      <c r="T61" s="64">
        <f t="shared" si="26"/>
        <v>0</v>
      </c>
      <c r="U61" s="64">
        <f t="shared" si="26"/>
        <v>0</v>
      </c>
      <c r="V61" s="64">
        <f t="shared" si="26"/>
        <v>0</v>
      </c>
      <c r="W61" s="279" t="s">
        <v>346</v>
      </c>
      <c r="X61" s="280">
        <f>MAX(B61:V61)</f>
        <v>11.290322580645162</v>
      </c>
    </row>
    <row r="62" spans="1:25" x14ac:dyDescent="0.25">
      <c r="A62" s="278" t="s">
        <v>345</v>
      </c>
      <c r="B62" s="64">
        <f t="shared" si="24"/>
        <v>0</v>
      </c>
      <c r="C62" s="64">
        <f t="shared" si="24"/>
        <v>0</v>
      </c>
      <c r="D62" s="64">
        <f t="shared" si="24"/>
        <v>0</v>
      </c>
      <c r="E62" s="64">
        <f t="shared" si="24"/>
        <v>0</v>
      </c>
      <c r="F62" s="64">
        <f t="shared" si="24"/>
        <v>0</v>
      </c>
      <c r="G62" s="64">
        <f t="shared" si="24"/>
        <v>0</v>
      </c>
      <c r="H62" s="64">
        <f t="shared" si="24"/>
        <v>0</v>
      </c>
      <c r="I62" s="64">
        <f t="shared" si="24"/>
        <v>0</v>
      </c>
      <c r="J62" s="64">
        <f t="shared" si="24"/>
        <v>0</v>
      </c>
      <c r="K62" s="64">
        <f t="shared" si="24"/>
        <v>0</v>
      </c>
      <c r="L62" s="64">
        <f t="shared" si="24"/>
        <v>0</v>
      </c>
      <c r="M62" s="64">
        <f t="shared" si="24"/>
        <v>0</v>
      </c>
      <c r="N62" s="64">
        <f t="shared" si="24"/>
        <v>0</v>
      </c>
      <c r="O62" s="64">
        <f t="shared" si="24"/>
        <v>0</v>
      </c>
      <c r="P62" s="64">
        <f t="shared" si="24"/>
        <v>0</v>
      </c>
      <c r="Q62" s="64">
        <f t="shared" si="24"/>
        <v>0</v>
      </c>
      <c r="R62" s="64">
        <f t="shared" si="25"/>
        <v>0</v>
      </c>
      <c r="S62" s="64">
        <f t="shared" si="25"/>
        <v>0</v>
      </c>
      <c r="T62" s="64">
        <f t="shared" si="26"/>
        <v>0</v>
      </c>
      <c r="U62" s="64">
        <f t="shared" si="26"/>
        <v>0</v>
      </c>
      <c r="V62" s="64">
        <f t="shared" si="26"/>
        <v>0</v>
      </c>
      <c r="W62" s="279" t="s">
        <v>346</v>
      </c>
      <c r="X62" s="280">
        <f>MAX(B62:V62)</f>
        <v>0</v>
      </c>
    </row>
    <row r="63" spans="1:25" x14ac:dyDescent="0.25">
      <c r="A63" t="s">
        <v>319</v>
      </c>
    </row>
    <row r="64" spans="1:25" x14ac:dyDescent="0.25">
      <c r="A64" t="s">
        <v>320</v>
      </c>
      <c r="B64" s="215">
        <f t="shared" ref="B64:V66" si="27">B48-B19</f>
        <v>-7603</v>
      </c>
      <c r="C64" s="215">
        <f t="shared" si="27"/>
        <v>1325</v>
      </c>
      <c r="D64" s="215">
        <f t="shared" si="27"/>
        <v>0</v>
      </c>
      <c r="E64" s="215">
        <f t="shared" si="27"/>
        <v>0</v>
      </c>
      <c r="F64" s="215">
        <f t="shared" si="27"/>
        <v>4341</v>
      </c>
      <c r="G64" s="215">
        <f t="shared" si="27"/>
        <v>4390.7</v>
      </c>
      <c r="H64" s="215">
        <f t="shared" si="27"/>
        <v>4397</v>
      </c>
      <c r="I64" s="215">
        <f t="shared" si="27"/>
        <v>4397</v>
      </c>
      <c r="J64" s="215">
        <f t="shared" si="27"/>
        <v>2357</v>
      </c>
      <c r="K64" s="215">
        <f t="shared" si="27"/>
        <v>12897</v>
      </c>
      <c r="L64" s="215">
        <f t="shared" si="27"/>
        <v>12897</v>
      </c>
      <c r="M64" s="215">
        <f t="shared" si="27"/>
        <v>10857</v>
      </c>
      <c r="N64" s="215">
        <f t="shared" si="27"/>
        <v>11988</v>
      </c>
      <c r="O64" s="215">
        <f t="shared" si="27"/>
        <v>11988</v>
      </c>
      <c r="P64" s="215">
        <f t="shared" si="27"/>
        <v>6466.3</v>
      </c>
      <c r="Q64" s="215">
        <f t="shared" si="27"/>
        <v>8500</v>
      </c>
      <c r="R64" s="215">
        <f t="shared" si="27"/>
        <v>8500</v>
      </c>
      <c r="S64" s="215">
        <f t="shared" si="27"/>
        <v>8500</v>
      </c>
      <c r="T64" s="215">
        <f t="shared" si="27"/>
        <v>0</v>
      </c>
      <c r="U64" s="215">
        <f t="shared" si="27"/>
        <v>0</v>
      </c>
      <c r="V64" s="215">
        <f t="shared" si="27"/>
        <v>0</v>
      </c>
      <c r="W64" s="189">
        <f>SUM(B64:V64)</f>
        <v>106198</v>
      </c>
      <c r="X64" s="189">
        <f>NPV('1сел'!$X$1,B64:V64)</f>
        <v>82086.987473545305</v>
      </c>
    </row>
    <row r="65" spans="1:25" x14ac:dyDescent="0.25">
      <c r="A65" t="s">
        <v>321</v>
      </c>
      <c r="B65">
        <f t="shared" si="27"/>
        <v>0</v>
      </c>
      <c r="C65">
        <f t="shared" si="27"/>
        <v>0</v>
      </c>
      <c r="D65">
        <f t="shared" si="27"/>
        <v>0</v>
      </c>
      <c r="E65">
        <f t="shared" si="27"/>
        <v>0</v>
      </c>
      <c r="F65">
        <f t="shared" si="27"/>
        <v>0</v>
      </c>
      <c r="G65">
        <f t="shared" si="27"/>
        <v>0</v>
      </c>
      <c r="H65">
        <f t="shared" si="27"/>
        <v>0</v>
      </c>
      <c r="I65">
        <f t="shared" si="27"/>
        <v>0</v>
      </c>
      <c r="J65">
        <f t="shared" si="27"/>
        <v>0</v>
      </c>
      <c r="K65">
        <f t="shared" si="27"/>
        <v>51000</v>
      </c>
      <c r="L65">
        <f t="shared" si="27"/>
        <v>51000</v>
      </c>
      <c r="M65">
        <f t="shared" si="27"/>
        <v>51000</v>
      </c>
      <c r="N65">
        <f t="shared" si="27"/>
        <v>51000</v>
      </c>
      <c r="O65">
        <f t="shared" si="27"/>
        <v>51000</v>
      </c>
      <c r="P65">
        <f t="shared" si="27"/>
        <v>51000</v>
      </c>
      <c r="Q65">
        <f t="shared" si="27"/>
        <v>51000</v>
      </c>
      <c r="R65">
        <f t="shared" si="27"/>
        <v>51000</v>
      </c>
      <c r="S65">
        <f t="shared" si="27"/>
        <v>51000</v>
      </c>
      <c r="T65">
        <f t="shared" si="27"/>
        <v>0</v>
      </c>
      <c r="U65">
        <f t="shared" si="27"/>
        <v>0</v>
      </c>
      <c r="V65">
        <f t="shared" si="27"/>
        <v>0</v>
      </c>
      <c r="W65" s="189">
        <f>SUM(B65:V65)</f>
        <v>459000</v>
      </c>
      <c r="X65" s="189">
        <f>NPV('1сел'!$X$1,B65:V65)</f>
        <v>348319.52181293961</v>
      </c>
    </row>
    <row r="66" spans="1:25" x14ac:dyDescent="0.25">
      <c r="A66" t="s">
        <v>322</v>
      </c>
      <c r="B66" s="215">
        <f t="shared" si="27"/>
        <v>0</v>
      </c>
      <c r="C66" s="215">
        <f t="shared" si="27"/>
        <v>0</v>
      </c>
      <c r="D66" s="215">
        <f t="shared" si="27"/>
        <v>0</v>
      </c>
      <c r="E66" s="215">
        <f t="shared" si="27"/>
        <v>0</v>
      </c>
      <c r="F66" s="215">
        <f t="shared" si="27"/>
        <v>0</v>
      </c>
      <c r="G66" s="215">
        <f t="shared" si="27"/>
        <v>0</v>
      </c>
      <c r="H66" s="215">
        <f t="shared" si="27"/>
        <v>0</v>
      </c>
      <c r="I66" s="215">
        <f t="shared" si="27"/>
        <v>-800.00000000000011</v>
      </c>
      <c r="J66" s="215">
        <f t="shared" si="27"/>
        <v>1240</v>
      </c>
      <c r="K66" s="215">
        <f t="shared" si="27"/>
        <v>0</v>
      </c>
      <c r="L66" s="215">
        <f t="shared" si="27"/>
        <v>-800.00000000000011</v>
      </c>
      <c r="M66" s="215">
        <f t="shared" si="27"/>
        <v>1240</v>
      </c>
      <c r="N66" s="215">
        <f t="shared" si="27"/>
        <v>0</v>
      </c>
      <c r="O66" s="215">
        <f t="shared" si="27"/>
        <v>-800.00000000000011</v>
      </c>
      <c r="P66" s="215">
        <f t="shared" si="27"/>
        <v>1240</v>
      </c>
      <c r="Q66" s="215">
        <f t="shared" si="27"/>
        <v>0</v>
      </c>
      <c r="R66" s="215">
        <f t="shared" si="27"/>
        <v>0</v>
      </c>
      <c r="S66" s="215">
        <f t="shared" si="27"/>
        <v>0</v>
      </c>
      <c r="T66" s="215">
        <f t="shared" si="27"/>
        <v>0</v>
      </c>
      <c r="U66" s="215">
        <f t="shared" si="27"/>
        <v>0</v>
      </c>
      <c r="V66" s="215">
        <f t="shared" si="27"/>
        <v>0</v>
      </c>
      <c r="W66" s="189">
        <f>SUM(B66:V66)</f>
        <v>1319.9999999999995</v>
      </c>
      <c r="X66" s="189">
        <f>NPV('1сел'!$X$1,B66:V66)</f>
        <v>1004.143584691761</v>
      </c>
    </row>
    <row r="67" spans="1:25" x14ac:dyDescent="0.25">
      <c r="A67" s="145" t="s">
        <v>419</v>
      </c>
      <c r="B67" s="215">
        <f>SUM(B64:B66)</f>
        <v>-7603</v>
      </c>
      <c r="C67" s="215">
        <f t="shared" ref="C67:V67" si="28">SUM(C64:C66)</f>
        <v>1325</v>
      </c>
      <c r="D67" s="215">
        <f t="shared" si="28"/>
        <v>0</v>
      </c>
      <c r="E67" s="215">
        <f t="shared" si="28"/>
        <v>0</v>
      </c>
      <c r="F67" s="215">
        <f t="shared" si="28"/>
        <v>4341</v>
      </c>
      <c r="G67" s="215">
        <f t="shared" si="28"/>
        <v>4390.7</v>
      </c>
      <c r="H67" s="215">
        <f t="shared" si="28"/>
        <v>4397</v>
      </c>
      <c r="I67" s="215">
        <f t="shared" si="28"/>
        <v>3597</v>
      </c>
      <c r="J67" s="215">
        <f t="shared" si="28"/>
        <v>3597</v>
      </c>
      <c r="K67" s="215">
        <f t="shared" si="28"/>
        <v>63897</v>
      </c>
      <c r="L67" s="215">
        <f t="shared" si="28"/>
        <v>63097</v>
      </c>
      <c r="M67" s="215">
        <f t="shared" si="28"/>
        <v>63097</v>
      </c>
      <c r="N67" s="215">
        <f t="shared" si="28"/>
        <v>62988</v>
      </c>
      <c r="O67" s="215">
        <f t="shared" si="28"/>
        <v>62188</v>
      </c>
      <c r="P67" s="215">
        <f t="shared" si="28"/>
        <v>58706.3</v>
      </c>
      <c r="Q67" s="215">
        <f t="shared" si="28"/>
        <v>59500</v>
      </c>
      <c r="R67" s="215">
        <f t="shared" si="28"/>
        <v>59500</v>
      </c>
      <c r="S67" s="215">
        <f t="shared" si="28"/>
        <v>59500</v>
      </c>
      <c r="T67" s="215">
        <f t="shared" si="28"/>
        <v>0</v>
      </c>
      <c r="U67" s="215">
        <f t="shared" si="28"/>
        <v>0</v>
      </c>
      <c r="V67" s="215">
        <f t="shared" si="28"/>
        <v>0</v>
      </c>
      <c r="W67" s="189">
        <f>SUM(B67:V67)</f>
        <v>566518</v>
      </c>
      <c r="X67" s="189">
        <f>NPV('1сел'!$X$1,B67:V67)</f>
        <v>431410.6528711766</v>
      </c>
    </row>
    <row r="68" spans="1:25" x14ac:dyDescent="0.25">
      <c r="A68" t="s">
        <v>420</v>
      </c>
    </row>
    <row r="69" spans="1:25" x14ac:dyDescent="0.25">
      <c r="A69" t="s">
        <v>320</v>
      </c>
      <c r="B69" s="215">
        <f>'1сел'!B38</f>
        <v>-7603</v>
      </c>
      <c r="C69" s="215">
        <f>'1сел'!C38</f>
        <v>1325</v>
      </c>
      <c r="D69" s="215">
        <f>'1сел'!D38</f>
        <v>0</v>
      </c>
      <c r="E69" s="215">
        <f>'1сел'!E38</f>
        <v>0</v>
      </c>
      <c r="F69" s="215">
        <f>'1сел'!F38</f>
        <v>4341</v>
      </c>
      <c r="G69" s="215">
        <f>'1сел'!G38</f>
        <v>4390.7</v>
      </c>
      <c r="H69" s="215">
        <f>'1сел'!H38</f>
        <v>4397</v>
      </c>
      <c r="I69" s="215">
        <f>'1сел'!I38</f>
        <v>4397</v>
      </c>
      <c r="J69" s="215">
        <f>'1сел'!J38</f>
        <v>2357</v>
      </c>
      <c r="K69" s="215">
        <f>'1сел'!K38</f>
        <v>12897</v>
      </c>
      <c r="L69" s="215">
        <f>'1сел'!L38</f>
        <v>12897</v>
      </c>
      <c r="M69" s="215">
        <f>'1сел'!M38</f>
        <v>10857</v>
      </c>
      <c r="N69" s="215">
        <f>'1сел'!N38</f>
        <v>11988</v>
      </c>
      <c r="O69" s="215">
        <f>'1сел'!O38</f>
        <v>11988</v>
      </c>
      <c r="P69" s="215">
        <f>'1сел'!P38</f>
        <v>6466.3</v>
      </c>
      <c r="Q69" s="215">
        <f>'1сел'!Q38</f>
        <v>8500</v>
      </c>
      <c r="R69" s="215">
        <f>'1сел'!R38</f>
        <v>8500</v>
      </c>
      <c r="S69" s="215">
        <f>'1сел'!S38</f>
        <v>8500</v>
      </c>
      <c r="T69" s="215">
        <f>'1сел'!T38</f>
        <v>0</v>
      </c>
      <c r="U69" s="215">
        <f>'1сел'!U38</f>
        <v>0</v>
      </c>
      <c r="V69" s="215">
        <f>'1сел'!V38</f>
        <v>0</v>
      </c>
      <c r="W69" s="189">
        <f>SUM(B69:V69)</f>
        <v>106198</v>
      </c>
      <c r="X69" s="189">
        <f>NPV('1сел'!$X$1,B69:V69)</f>
        <v>82086.987473545305</v>
      </c>
    </row>
    <row r="70" spans="1:25" x14ac:dyDescent="0.25">
      <c r="A70" t="s">
        <v>321</v>
      </c>
      <c r="B70" s="215">
        <f>'3товар'!B26*1000</f>
        <v>0</v>
      </c>
      <c r="C70" s="215">
        <f>'3товар'!C26*1000</f>
        <v>0</v>
      </c>
      <c r="D70" s="215">
        <f>'3товар'!D26*1000</f>
        <v>0</v>
      </c>
      <c r="E70" s="215">
        <f>'3товар'!E26*1000</f>
        <v>0</v>
      </c>
      <c r="F70" s="215">
        <f>'3товар'!F26*1000</f>
        <v>0</v>
      </c>
      <c r="G70" s="215">
        <f>'3товар'!G26*1000</f>
        <v>0</v>
      </c>
      <c r="H70" s="215">
        <f>'3товар'!H26*1000</f>
        <v>0</v>
      </c>
      <c r="I70" s="215">
        <f>'3товар'!I26*1000</f>
        <v>0</v>
      </c>
      <c r="J70" s="215">
        <f>'3товар'!J26*1000</f>
        <v>0</v>
      </c>
      <c r="K70" s="215">
        <f>'3товар'!K26*1000</f>
        <v>51000</v>
      </c>
      <c r="L70" s="215">
        <f>'3товар'!L26*1000</f>
        <v>51000</v>
      </c>
      <c r="M70" s="215">
        <f>'3товар'!M26*1000</f>
        <v>51000</v>
      </c>
      <c r="N70" s="215">
        <f>'3товар'!N26*1000</f>
        <v>51000</v>
      </c>
      <c r="O70" s="215">
        <f>'3товар'!O26*1000</f>
        <v>51000</v>
      </c>
      <c r="P70" s="215">
        <f>'3товар'!P26*1000</f>
        <v>51000</v>
      </c>
      <c r="Q70" s="215">
        <f>'3товар'!Q26*1000</f>
        <v>51000</v>
      </c>
      <c r="R70" s="215">
        <f>'3товар'!R26*1000</f>
        <v>51000</v>
      </c>
      <c r="S70" s="215">
        <f>'3товар'!S26*1000</f>
        <v>51000</v>
      </c>
      <c r="T70" s="215">
        <f>'3товар'!T26*1000</f>
        <v>0</v>
      </c>
      <c r="U70" s="215">
        <f>'3товар'!U26*1000</f>
        <v>0</v>
      </c>
      <c r="V70" s="215">
        <f>'3товар'!V26*1000</f>
        <v>0</v>
      </c>
      <c r="W70" s="189">
        <f>SUM(B70:V70)</f>
        <v>459000</v>
      </c>
      <c r="X70" s="189">
        <f>NPV('1сел'!$X$1,B70:V70)</f>
        <v>348319.52181293961</v>
      </c>
    </row>
    <row r="71" spans="1:25" x14ac:dyDescent="0.25">
      <c r="A71" t="s">
        <v>322</v>
      </c>
      <c r="B71" s="215">
        <f>'2сем'!B38</f>
        <v>0</v>
      </c>
      <c r="C71" s="215">
        <f>'2сем'!C38</f>
        <v>0</v>
      </c>
      <c r="D71" s="215">
        <f>'2сем'!D38</f>
        <v>0</v>
      </c>
      <c r="E71" s="215">
        <f>'2сем'!E38</f>
        <v>0</v>
      </c>
      <c r="F71" s="215">
        <f>'2сем'!F38</f>
        <v>0</v>
      </c>
      <c r="G71" s="215">
        <f>'2сем'!G38</f>
        <v>0</v>
      </c>
      <c r="H71" s="215">
        <f>'2сем'!H38</f>
        <v>0</v>
      </c>
      <c r="I71" s="215">
        <f>'2сем'!I38</f>
        <v>-800.00000000000011</v>
      </c>
      <c r="J71" s="215">
        <f>'2сем'!J38</f>
        <v>1240</v>
      </c>
      <c r="K71" s="215">
        <f>'2сем'!K38</f>
        <v>0</v>
      </c>
      <c r="L71" s="215">
        <f>'2сем'!L38</f>
        <v>-800.00000000000011</v>
      </c>
      <c r="M71" s="215">
        <f>'2сем'!M38</f>
        <v>1240</v>
      </c>
      <c r="N71" s="215">
        <f>'2сем'!N38</f>
        <v>0</v>
      </c>
      <c r="O71" s="215">
        <f>'2сем'!O38</f>
        <v>-800.00000000000011</v>
      </c>
      <c r="P71" s="215">
        <f>'2сем'!P38</f>
        <v>1240</v>
      </c>
      <c r="Q71" s="215">
        <f>'2сем'!Q38</f>
        <v>0</v>
      </c>
      <c r="R71" s="215">
        <f>'2сем'!R38</f>
        <v>0</v>
      </c>
      <c r="S71" s="215">
        <f>'2сем'!S38</f>
        <v>0</v>
      </c>
      <c r="T71" s="215">
        <f>'2сем'!T38</f>
        <v>0</v>
      </c>
      <c r="U71" s="215">
        <f>'2сем'!U38</f>
        <v>0</v>
      </c>
      <c r="V71" s="215">
        <f>'2сем'!V38</f>
        <v>0</v>
      </c>
      <c r="W71" s="189">
        <f>SUM(B71:V71)</f>
        <v>1319.9999999999995</v>
      </c>
      <c r="X71" s="189">
        <f>NPV('1сел'!$X$1,B71:V71)</f>
        <v>1004.143584691761</v>
      </c>
    </row>
    <row r="72" spans="1:25" x14ac:dyDescent="0.25">
      <c r="A72" s="299" t="s">
        <v>325</v>
      </c>
      <c r="B72" s="419">
        <f>SUM(B64:B66)</f>
        <v>-7603</v>
      </c>
      <c r="C72" s="215">
        <f t="shared" ref="C72:V72" si="29">SUM(C69:C71)</f>
        <v>1325</v>
      </c>
      <c r="D72" s="215">
        <f t="shared" si="29"/>
        <v>0</v>
      </c>
      <c r="E72" s="215">
        <f t="shared" si="29"/>
        <v>0</v>
      </c>
      <c r="F72" s="215">
        <f t="shared" si="29"/>
        <v>4341</v>
      </c>
      <c r="G72" s="215">
        <f t="shared" si="29"/>
        <v>4390.7</v>
      </c>
      <c r="H72" s="215">
        <f t="shared" si="29"/>
        <v>4397</v>
      </c>
      <c r="I72" s="215">
        <f t="shared" si="29"/>
        <v>3597</v>
      </c>
      <c r="J72" s="215">
        <f t="shared" si="29"/>
        <v>3597</v>
      </c>
      <c r="K72" s="215">
        <f t="shared" si="29"/>
        <v>63897</v>
      </c>
      <c r="L72" s="215">
        <f t="shared" si="29"/>
        <v>63097</v>
      </c>
      <c r="M72" s="215">
        <f t="shared" si="29"/>
        <v>63097</v>
      </c>
      <c r="N72" s="215">
        <f t="shared" si="29"/>
        <v>62988</v>
      </c>
      <c r="O72" s="215">
        <f t="shared" si="29"/>
        <v>62188</v>
      </c>
      <c r="P72" s="215">
        <f t="shared" si="29"/>
        <v>58706.3</v>
      </c>
      <c r="Q72" s="215">
        <f t="shared" si="29"/>
        <v>59500</v>
      </c>
      <c r="R72" s="215">
        <f t="shared" si="29"/>
        <v>59500</v>
      </c>
      <c r="S72" s="215">
        <f t="shared" si="29"/>
        <v>59500</v>
      </c>
      <c r="T72" s="215">
        <f t="shared" si="29"/>
        <v>0</v>
      </c>
      <c r="U72" s="215">
        <f t="shared" si="29"/>
        <v>0</v>
      </c>
      <c r="V72" s="215">
        <f t="shared" si="29"/>
        <v>0</v>
      </c>
      <c r="W72" s="189">
        <f>SUM(B72:V72)</f>
        <v>566518</v>
      </c>
      <c r="X72" s="277">
        <f>NPV('1сел'!$X$1,B72:V72)</f>
        <v>431410.6528711766</v>
      </c>
    </row>
    <row r="73" spans="1:25" s="264" customFormat="1" ht="12.75" x14ac:dyDescent="0.2">
      <c r="A73" s="264" t="s">
        <v>326</v>
      </c>
      <c r="B73" s="266">
        <f>B67-B72</f>
        <v>0</v>
      </c>
      <c r="C73" s="266">
        <f t="shared" ref="C73:V73" si="30">C67-C72</f>
        <v>0</v>
      </c>
      <c r="D73" s="266">
        <f t="shared" si="30"/>
        <v>0</v>
      </c>
      <c r="E73" s="266">
        <f t="shared" si="30"/>
        <v>0</v>
      </c>
      <c r="F73" s="266">
        <f t="shared" si="30"/>
        <v>0</v>
      </c>
      <c r="G73" s="266">
        <f t="shared" si="30"/>
        <v>0</v>
      </c>
      <c r="H73" s="266">
        <f t="shared" si="30"/>
        <v>0</v>
      </c>
      <c r="I73" s="266">
        <f t="shared" si="30"/>
        <v>0</v>
      </c>
      <c r="J73" s="266">
        <f t="shared" si="30"/>
        <v>0</v>
      </c>
      <c r="K73" s="266">
        <f t="shared" si="30"/>
        <v>0</v>
      </c>
      <c r="L73" s="266">
        <f t="shared" si="30"/>
        <v>0</v>
      </c>
      <c r="M73" s="266">
        <f t="shared" si="30"/>
        <v>0</v>
      </c>
      <c r="N73" s="266">
        <f t="shared" si="30"/>
        <v>0</v>
      </c>
      <c r="O73" s="266">
        <f t="shared" si="30"/>
        <v>0</v>
      </c>
      <c r="P73" s="266">
        <f t="shared" si="30"/>
        <v>0</v>
      </c>
      <c r="Q73" s="266">
        <f t="shared" si="30"/>
        <v>0</v>
      </c>
      <c r="R73" s="266">
        <f t="shared" si="30"/>
        <v>0</v>
      </c>
      <c r="S73" s="266">
        <f t="shared" si="30"/>
        <v>0</v>
      </c>
      <c r="T73" s="266">
        <f t="shared" si="30"/>
        <v>0</v>
      </c>
      <c r="U73" s="266">
        <f t="shared" si="30"/>
        <v>0</v>
      </c>
      <c r="V73" s="266">
        <f t="shared" si="30"/>
        <v>0</v>
      </c>
      <c r="W73" s="265"/>
      <c r="X73" s="265"/>
      <c r="Y73" s="265"/>
    </row>
    <row r="74" spans="1:25" s="72" customFormat="1" ht="11.25" x14ac:dyDescent="0.2">
      <c r="A74" s="72" t="s">
        <v>350</v>
      </c>
      <c r="B74" s="288">
        <f>(1+'1сел'!$X$1)^B$2</f>
        <v>1.02</v>
      </c>
      <c r="C74" s="288">
        <f>(1+'1сел'!$X$1)^C$2</f>
        <v>1.0404</v>
      </c>
      <c r="D74" s="288">
        <f>(1+'1сел'!$X$1)^D$2</f>
        <v>1.0612079999999999</v>
      </c>
      <c r="E74" s="288">
        <f>(1+'1сел'!$X$1)^E$2</f>
        <v>1.08243216</v>
      </c>
      <c r="F74" s="288">
        <f>(1+'1сел'!$X$1)^F$2</f>
        <v>1.1040808032</v>
      </c>
      <c r="G74" s="288">
        <f>(1+'1сел'!$X$1)^G$2</f>
        <v>1.1261624192640001</v>
      </c>
      <c r="H74" s="288">
        <f>(1+'1сел'!$X$1)^H$2</f>
        <v>1.1486856676492798</v>
      </c>
      <c r="I74" s="288">
        <f>(1+'1сел'!$X$1)^I$2</f>
        <v>1.1716593810022655</v>
      </c>
      <c r="J74" s="288">
        <f>(1+'1сел'!$X$1)^J$2</f>
        <v>1.1950925686223108</v>
      </c>
      <c r="K74" s="288">
        <f>(1+'1сел'!$X$1)^K$2</f>
        <v>1.2189944199947571</v>
      </c>
      <c r="L74" s="288">
        <f>(1+'1сел'!$X$1)^L$2</f>
        <v>1.243374308394652</v>
      </c>
      <c r="M74" s="288">
        <f>(1+'1сел'!$X$1)^M$2</f>
        <v>1.2682417945625453</v>
      </c>
      <c r="N74" s="288">
        <f>(1+'1сел'!$X$1)^N$2</f>
        <v>1.2936066304537961</v>
      </c>
      <c r="O74" s="288">
        <f>(1+'1сел'!$X$1)^O$2</f>
        <v>1.3194787630628722</v>
      </c>
      <c r="P74" s="288">
        <f>(1+'1сел'!$X$1)^P$2</f>
        <v>1.3458683383241292</v>
      </c>
      <c r="Q74" s="288">
        <f>(1+'1сел'!$X$1)^Q$2</f>
        <v>1.372785705090612</v>
      </c>
      <c r="R74" s="288">
        <f>(1+'1сел'!$X$1)^R$2</f>
        <v>1.4002414191924244</v>
      </c>
      <c r="S74" s="288">
        <f>(1+'1сел'!$X$1)^S$2</f>
        <v>1.4282462475762727</v>
      </c>
      <c r="T74" s="288">
        <f>(1+'1сел'!$X$1)^T$2</f>
        <v>1.4568111725277981</v>
      </c>
      <c r="U74" s="288">
        <f>(1+'1сел'!$X$1)^U$2</f>
        <v>1.4859473959783542</v>
      </c>
      <c r="V74" s="288">
        <f>(1+'1сел'!$X$1)^V$2</f>
        <v>1.5156663438979212</v>
      </c>
      <c r="W74" s="287"/>
      <c r="X74" s="287"/>
      <c r="Y74" s="287"/>
    </row>
    <row r="75" spans="1:25" s="264" customFormat="1" ht="12.75" x14ac:dyDescent="0.2">
      <c r="A75" s="285" t="s">
        <v>348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5"/>
      <c r="X75" s="265"/>
      <c r="Y75" s="265"/>
    </row>
    <row r="76" spans="1:25" s="264" customFormat="1" ht="18.75" x14ac:dyDescent="0.3">
      <c r="A76" s="264" t="str">
        <f>A69</f>
        <v>Селекционера</v>
      </c>
      <c r="B76" s="289">
        <f>B64/B$74</f>
        <v>-7453.9215686274511</v>
      </c>
      <c r="C76" s="289">
        <f t="shared" ref="C76:V78" si="31">C64/C$74</f>
        <v>1273.5486351403306</v>
      </c>
      <c r="D76" s="289">
        <f t="shared" si="31"/>
        <v>0</v>
      </c>
      <c r="E76" s="289">
        <f t="shared" si="31"/>
        <v>0</v>
      </c>
      <c r="F76" s="289">
        <f t="shared" si="31"/>
        <v>3931.777445471665</v>
      </c>
      <c r="G76" s="289">
        <f t="shared" si="31"/>
        <v>3898.8159477649128</v>
      </c>
      <c r="H76" s="289">
        <f t="shared" si="31"/>
        <v>3827.8531053653796</v>
      </c>
      <c r="I76" s="289">
        <f t="shared" si="31"/>
        <v>3752.7971621229208</v>
      </c>
      <c r="J76" s="289">
        <f t="shared" si="31"/>
        <v>1972.232161661856</v>
      </c>
      <c r="K76" s="289">
        <f t="shared" si="31"/>
        <v>10580.032023489877</v>
      </c>
      <c r="L76" s="289">
        <f t="shared" si="31"/>
        <v>10372.580415186158</v>
      </c>
      <c r="M76" s="289">
        <f t="shared" si="31"/>
        <v>8560.6704072900429</v>
      </c>
      <c r="N76" s="289">
        <f t="shared" si="31"/>
        <v>9267.1139106597038</v>
      </c>
      <c r="O76" s="289">
        <f t="shared" si="31"/>
        <v>9085.4057947644142</v>
      </c>
      <c r="P76" s="289">
        <f t="shared" si="31"/>
        <v>4804.5561485247626</v>
      </c>
      <c r="Q76" s="289">
        <f t="shared" si="31"/>
        <v>6191.7894165709931</v>
      </c>
      <c r="R76" s="289">
        <f t="shared" si="31"/>
        <v>6070.3817809519533</v>
      </c>
      <c r="S76" s="289">
        <f t="shared" si="31"/>
        <v>5951.3546872077977</v>
      </c>
      <c r="T76" s="289">
        <f t="shared" si="31"/>
        <v>0</v>
      </c>
      <c r="U76" s="289">
        <f t="shared" si="31"/>
        <v>0</v>
      </c>
      <c r="V76" s="289">
        <f t="shared" si="31"/>
        <v>0</v>
      </c>
      <c r="W76" s="304">
        <f>SUM(B76:V76)</f>
        <v>82086.987473545305</v>
      </c>
      <c r="X76" s="265"/>
      <c r="Y76" s="265"/>
    </row>
    <row r="77" spans="1:25" s="264" customFormat="1" ht="18.75" x14ac:dyDescent="0.3">
      <c r="A77" s="264" t="str">
        <f>A70</f>
        <v>Товарное производство</v>
      </c>
      <c r="B77" s="289">
        <f>B65/B$74</f>
        <v>0</v>
      </c>
      <c r="C77" s="289">
        <f t="shared" si="31"/>
        <v>0</v>
      </c>
      <c r="D77" s="289">
        <f t="shared" si="31"/>
        <v>0</v>
      </c>
      <c r="E77" s="289">
        <f t="shared" si="31"/>
        <v>0</v>
      </c>
      <c r="F77" s="289">
        <f t="shared" si="31"/>
        <v>0</v>
      </c>
      <c r="G77" s="289">
        <f t="shared" si="31"/>
        <v>0</v>
      </c>
      <c r="H77" s="289">
        <f t="shared" si="31"/>
        <v>0</v>
      </c>
      <c r="I77" s="289">
        <f t="shared" si="31"/>
        <v>0</v>
      </c>
      <c r="J77" s="289">
        <f t="shared" si="31"/>
        <v>0</v>
      </c>
      <c r="K77" s="289">
        <f t="shared" si="31"/>
        <v>41837.763293632917</v>
      </c>
      <c r="L77" s="289">
        <f t="shared" si="31"/>
        <v>41017.414993757775</v>
      </c>
      <c r="M77" s="289">
        <f t="shared" si="31"/>
        <v>40213.151954664478</v>
      </c>
      <c r="N77" s="289">
        <f t="shared" si="31"/>
        <v>39424.65877908282</v>
      </c>
      <c r="O77" s="289">
        <f t="shared" si="31"/>
        <v>38651.62625400276</v>
      </c>
      <c r="P77" s="289">
        <f t="shared" si="31"/>
        <v>37893.751229414484</v>
      </c>
      <c r="Q77" s="289">
        <f t="shared" si="31"/>
        <v>37150.736499425955</v>
      </c>
      <c r="R77" s="289">
        <f t="shared" si="31"/>
        <v>36422.29068571172</v>
      </c>
      <c r="S77" s="289">
        <f t="shared" si="31"/>
        <v>35708.128123246788</v>
      </c>
      <c r="T77" s="289">
        <f t="shared" si="31"/>
        <v>0</v>
      </c>
      <c r="U77" s="289">
        <f t="shared" si="31"/>
        <v>0</v>
      </c>
      <c r="V77" s="289">
        <f t="shared" si="31"/>
        <v>0</v>
      </c>
      <c r="W77" s="304">
        <f>SUM(B77:V77)</f>
        <v>348319.52181293967</v>
      </c>
      <c r="X77" s="265"/>
      <c r="Y77" s="265"/>
    </row>
    <row r="78" spans="1:25" s="264" customFormat="1" ht="18.75" x14ac:dyDescent="0.3">
      <c r="A78" s="264" t="str">
        <f>A71</f>
        <v>Семеноводство</v>
      </c>
      <c r="B78" s="289">
        <f>B66/B$74</f>
        <v>0</v>
      </c>
      <c r="C78" s="289">
        <f t="shared" si="31"/>
        <v>0</v>
      </c>
      <c r="D78" s="289">
        <f t="shared" si="31"/>
        <v>0</v>
      </c>
      <c r="E78" s="289">
        <f t="shared" si="31"/>
        <v>0</v>
      </c>
      <c r="F78" s="289">
        <f t="shared" si="31"/>
        <v>0</v>
      </c>
      <c r="G78" s="289">
        <f t="shared" si="31"/>
        <v>0</v>
      </c>
      <c r="H78" s="289">
        <f t="shared" si="31"/>
        <v>0</v>
      </c>
      <c r="I78" s="289">
        <f t="shared" si="31"/>
        <v>-682.79229695208937</v>
      </c>
      <c r="J78" s="289">
        <f t="shared" si="31"/>
        <v>1037.5765296820964</v>
      </c>
      <c r="K78" s="289">
        <f t="shared" si="31"/>
        <v>0</v>
      </c>
      <c r="L78" s="289">
        <f t="shared" si="31"/>
        <v>-643.41043127463183</v>
      </c>
      <c r="M78" s="289">
        <f t="shared" si="31"/>
        <v>977.73153772125397</v>
      </c>
      <c r="N78" s="289">
        <f t="shared" si="31"/>
        <v>0</v>
      </c>
      <c r="O78" s="289">
        <f t="shared" si="31"/>
        <v>-606.30001967063163</v>
      </c>
      <c r="P78" s="289">
        <f t="shared" si="31"/>
        <v>921.33826518576393</v>
      </c>
      <c r="Q78" s="289">
        <f t="shared" si="31"/>
        <v>0</v>
      </c>
      <c r="R78" s="289">
        <f t="shared" si="31"/>
        <v>0</v>
      </c>
      <c r="S78" s="289">
        <f t="shared" si="31"/>
        <v>0</v>
      </c>
      <c r="T78" s="289">
        <f t="shared" si="31"/>
        <v>0</v>
      </c>
      <c r="U78" s="289">
        <f t="shared" si="31"/>
        <v>0</v>
      </c>
      <c r="V78" s="289">
        <f t="shared" si="31"/>
        <v>0</v>
      </c>
      <c r="W78" s="304">
        <f>SUM(B78:V78)</f>
        <v>1004.1435846917615</v>
      </c>
      <c r="X78" s="265"/>
      <c r="Y78" s="265"/>
    </row>
    <row r="79" spans="1:25" s="264" customFormat="1" ht="18.75" x14ac:dyDescent="0.3">
      <c r="A79" s="264" t="str">
        <f>A72</f>
        <v>Сумма приростов по табл.</v>
      </c>
      <c r="B79" s="289">
        <f t="shared" ref="B79:V79" si="32">B72/B$74</f>
        <v>-7453.9215686274511</v>
      </c>
      <c r="C79" s="289">
        <f t="shared" si="32"/>
        <v>1273.5486351403306</v>
      </c>
      <c r="D79" s="289">
        <f t="shared" si="32"/>
        <v>0</v>
      </c>
      <c r="E79" s="289">
        <f t="shared" si="32"/>
        <v>0</v>
      </c>
      <c r="F79" s="289">
        <f t="shared" si="32"/>
        <v>3931.777445471665</v>
      </c>
      <c r="G79" s="289">
        <f t="shared" si="32"/>
        <v>3898.8159477649128</v>
      </c>
      <c r="H79" s="289">
        <f t="shared" si="32"/>
        <v>3827.8531053653796</v>
      </c>
      <c r="I79" s="289">
        <f t="shared" si="32"/>
        <v>3070.0048651708316</v>
      </c>
      <c r="J79" s="289">
        <f t="shared" si="32"/>
        <v>3009.8086913439524</v>
      </c>
      <c r="K79" s="289">
        <f t="shared" si="32"/>
        <v>52417.7953171228</v>
      </c>
      <c r="L79" s="289">
        <f t="shared" si="32"/>
        <v>50746.584977669299</v>
      </c>
      <c r="M79" s="289">
        <f t="shared" si="32"/>
        <v>49751.553899675775</v>
      </c>
      <c r="N79" s="289">
        <f t="shared" si="32"/>
        <v>48691.772689742524</v>
      </c>
      <c r="O79" s="289">
        <f t="shared" si="32"/>
        <v>47130.732029096544</v>
      </c>
      <c r="P79" s="289">
        <f t="shared" si="32"/>
        <v>43619.645643125012</v>
      </c>
      <c r="Q79" s="289">
        <f t="shared" si="32"/>
        <v>43342.52591599695</v>
      </c>
      <c r="R79" s="289">
        <f t="shared" si="32"/>
        <v>42492.672466663673</v>
      </c>
      <c r="S79" s="289">
        <f t="shared" si="32"/>
        <v>41659.482810454589</v>
      </c>
      <c r="T79" s="289">
        <f t="shared" si="32"/>
        <v>0</v>
      </c>
      <c r="U79" s="289">
        <f t="shared" si="32"/>
        <v>0</v>
      </c>
      <c r="V79" s="289">
        <f t="shared" si="32"/>
        <v>0</v>
      </c>
      <c r="W79" s="305">
        <f>SUM(B79:V79)</f>
        <v>431410.65287117672</v>
      </c>
      <c r="X79" s="265"/>
      <c r="Y79" s="265"/>
    </row>
    <row r="80" spans="1:25" s="285" customFormat="1" ht="12.75" x14ac:dyDescent="0.2">
      <c r="A80" s="285" t="s">
        <v>349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</row>
    <row r="81" spans="1:26" s="264" customFormat="1" ht="12.75" x14ac:dyDescent="0.2">
      <c r="A81" s="264" t="str">
        <f>A76</f>
        <v>Селекционера</v>
      </c>
      <c r="B81" s="289">
        <f>B76</f>
        <v>-7453.9215686274511</v>
      </c>
      <c r="C81" s="289">
        <f>B81+C76</f>
        <v>-6180.3729334871205</v>
      </c>
      <c r="D81" s="289">
        <f t="shared" ref="D81:V84" si="33">C81+D76</f>
        <v>-6180.3729334871205</v>
      </c>
      <c r="E81" s="289">
        <f t="shared" si="33"/>
        <v>-6180.3729334871205</v>
      </c>
      <c r="F81" s="289">
        <f t="shared" si="33"/>
        <v>-2248.5954880154554</v>
      </c>
      <c r="G81" s="289">
        <f t="shared" si="33"/>
        <v>1650.2204597494574</v>
      </c>
      <c r="H81" s="289">
        <f t="shared" si="33"/>
        <v>5478.073565114837</v>
      </c>
      <c r="I81" s="289">
        <f t="shared" si="33"/>
        <v>9230.8707272377578</v>
      </c>
      <c r="J81" s="289">
        <f t="shared" si="33"/>
        <v>11203.102888899613</v>
      </c>
      <c r="K81" s="289">
        <f t="shared" si="33"/>
        <v>21783.134912389491</v>
      </c>
      <c r="L81" s="289">
        <f t="shared" si="33"/>
        <v>32155.71532757565</v>
      </c>
      <c r="M81" s="289">
        <f t="shared" si="33"/>
        <v>40716.385734865689</v>
      </c>
      <c r="N81" s="289">
        <f t="shared" si="33"/>
        <v>49983.499645525393</v>
      </c>
      <c r="O81" s="289">
        <f t="shared" si="33"/>
        <v>59068.905440289804</v>
      </c>
      <c r="P81" s="289">
        <f t="shared" si="33"/>
        <v>63873.461588814564</v>
      </c>
      <c r="Q81" s="289">
        <f t="shared" si="33"/>
        <v>70065.251005385551</v>
      </c>
      <c r="R81" s="289">
        <f t="shared" si="33"/>
        <v>76135.632786337505</v>
      </c>
      <c r="S81" s="289">
        <f t="shared" si="33"/>
        <v>82086.987473545305</v>
      </c>
      <c r="T81" s="289">
        <f t="shared" si="33"/>
        <v>82086.987473545305</v>
      </c>
      <c r="U81" s="289">
        <f t="shared" si="33"/>
        <v>82086.987473545305</v>
      </c>
      <c r="V81" s="289">
        <f t="shared" si="33"/>
        <v>82086.987473545305</v>
      </c>
      <c r="W81" s="265"/>
      <c r="X81" s="265"/>
      <c r="Y81" s="265"/>
    </row>
    <row r="82" spans="1:26" s="264" customFormat="1" ht="12.75" x14ac:dyDescent="0.2">
      <c r="A82" s="264" t="str">
        <f t="shared" ref="A82:B84" si="34">A77</f>
        <v>Товарное производство</v>
      </c>
      <c r="B82" s="289">
        <f t="shared" si="34"/>
        <v>0</v>
      </c>
      <c r="C82" s="289">
        <f>B82+C77</f>
        <v>0</v>
      </c>
      <c r="D82" s="289">
        <f t="shared" ref="D82:R82" si="35">C82+D77</f>
        <v>0</v>
      </c>
      <c r="E82" s="289">
        <f t="shared" si="35"/>
        <v>0</v>
      </c>
      <c r="F82" s="289">
        <f t="shared" si="35"/>
        <v>0</v>
      </c>
      <c r="G82" s="289">
        <f t="shared" si="35"/>
        <v>0</v>
      </c>
      <c r="H82" s="289">
        <f t="shared" si="35"/>
        <v>0</v>
      </c>
      <c r="I82" s="289">
        <f t="shared" si="35"/>
        <v>0</v>
      </c>
      <c r="J82" s="289">
        <f t="shared" si="35"/>
        <v>0</v>
      </c>
      <c r="K82" s="289">
        <f t="shared" si="35"/>
        <v>41837.763293632917</v>
      </c>
      <c r="L82" s="289">
        <f t="shared" si="35"/>
        <v>82855.178287390692</v>
      </c>
      <c r="M82" s="289">
        <f t="shared" si="35"/>
        <v>123068.33024205518</v>
      </c>
      <c r="N82" s="289">
        <f t="shared" si="35"/>
        <v>162492.989021138</v>
      </c>
      <c r="O82" s="289">
        <f t="shared" si="35"/>
        <v>201144.61527514076</v>
      </c>
      <c r="P82" s="289">
        <f t="shared" si="35"/>
        <v>239038.36650455525</v>
      </c>
      <c r="Q82" s="289">
        <f t="shared" si="35"/>
        <v>276189.10300398117</v>
      </c>
      <c r="R82" s="289">
        <f t="shared" si="35"/>
        <v>312611.39368969289</v>
      </c>
      <c r="S82" s="289">
        <f t="shared" si="33"/>
        <v>348319.52181293967</v>
      </c>
      <c r="T82" s="289">
        <f t="shared" si="33"/>
        <v>348319.52181293967</v>
      </c>
      <c r="U82" s="289">
        <f t="shared" si="33"/>
        <v>348319.52181293967</v>
      </c>
      <c r="V82" s="289">
        <f t="shared" si="33"/>
        <v>348319.52181293967</v>
      </c>
      <c r="W82" s="265"/>
      <c r="X82" s="265"/>
      <c r="Y82" s="265"/>
    </row>
    <row r="83" spans="1:26" s="264" customFormat="1" ht="12.75" x14ac:dyDescent="0.2">
      <c r="A83" s="264" t="str">
        <f t="shared" si="34"/>
        <v>Семеноводство</v>
      </c>
      <c r="B83" s="289">
        <f t="shared" si="34"/>
        <v>0</v>
      </c>
      <c r="C83" s="289">
        <f>B83+C78</f>
        <v>0</v>
      </c>
      <c r="D83" s="289">
        <f t="shared" si="33"/>
        <v>0</v>
      </c>
      <c r="E83" s="289">
        <f t="shared" si="33"/>
        <v>0</v>
      </c>
      <c r="F83" s="289">
        <f t="shared" si="33"/>
        <v>0</v>
      </c>
      <c r="G83" s="289">
        <f t="shared" si="33"/>
        <v>0</v>
      </c>
      <c r="H83" s="289">
        <f t="shared" si="33"/>
        <v>0</v>
      </c>
      <c r="I83" s="289">
        <f t="shared" si="33"/>
        <v>-682.79229695208937</v>
      </c>
      <c r="J83" s="289">
        <f t="shared" si="33"/>
        <v>354.78423273000703</v>
      </c>
      <c r="K83" s="289">
        <f t="shared" si="33"/>
        <v>354.78423273000703</v>
      </c>
      <c r="L83" s="289">
        <f t="shared" si="33"/>
        <v>-288.6261985446248</v>
      </c>
      <c r="M83" s="289">
        <f t="shared" si="33"/>
        <v>689.10533917662917</v>
      </c>
      <c r="N83" s="289">
        <f t="shared" si="33"/>
        <v>689.10533917662917</v>
      </c>
      <c r="O83" s="289">
        <f t="shared" si="33"/>
        <v>82.805319505997545</v>
      </c>
      <c r="P83" s="289">
        <f t="shared" si="33"/>
        <v>1004.1435846917615</v>
      </c>
      <c r="Q83" s="289">
        <f t="shared" si="33"/>
        <v>1004.1435846917615</v>
      </c>
      <c r="R83" s="289">
        <f t="shared" si="33"/>
        <v>1004.1435846917615</v>
      </c>
      <c r="S83" s="289">
        <f t="shared" si="33"/>
        <v>1004.1435846917615</v>
      </c>
      <c r="T83" s="289">
        <f t="shared" si="33"/>
        <v>1004.1435846917615</v>
      </c>
      <c r="U83" s="289">
        <f t="shared" si="33"/>
        <v>1004.1435846917615</v>
      </c>
      <c r="V83" s="289">
        <f t="shared" si="33"/>
        <v>1004.1435846917615</v>
      </c>
      <c r="W83" s="265"/>
      <c r="X83" s="265"/>
      <c r="Y83" s="265"/>
    </row>
    <row r="84" spans="1:26" s="264" customFormat="1" ht="12.75" x14ac:dyDescent="0.2">
      <c r="A84" s="264" t="str">
        <f t="shared" si="34"/>
        <v>Сумма приростов по табл.</v>
      </c>
      <c r="B84" s="289">
        <f t="shared" si="34"/>
        <v>-7453.9215686274511</v>
      </c>
      <c r="C84" s="289">
        <f>B84+C79</f>
        <v>-6180.3729334871205</v>
      </c>
      <c r="D84" s="289">
        <f t="shared" si="33"/>
        <v>-6180.3729334871205</v>
      </c>
      <c r="E84" s="289">
        <f t="shared" si="33"/>
        <v>-6180.3729334871205</v>
      </c>
      <c r="F84" s="289">
        <f t="shared" si="33"/>
        <v>-2248.5954880154554</v>
      </c>
      <c r="G84" s="289">
        <f t="shared" si="33"/>
        <v>1650.2204597494574</v>
      </c>
      <c r="H84" s="289">
        <f t="shared" si="33"/>
        <v>5478.073565114837</v>
      </c>
      <c r="I84" s="289">
        <f t="shared" si="33"/>
        <v>8548.0784302856682</v>
      </c>
      <c r="J84" s="289">
        <f t="shared" si="33"/>
        <v>11557.887121629621</v>
      </c>
      <c r="K84" s="289">
        <f t="shared" si="33"/>
        <v>63975.682438752425</v>
      </c>
      <c r="L84" s="289">
        <f t="shared" si="33"/>
        <v>114722.26741642173</v>
      </c>
      <c r="M84" s="289">
        <f t="shared" si="33"/>
        <v>164473.82131609751</v>
      </c>
      <c r="N84" s="289">
        <f t="shared" si="33"/>
        <v>213165.59400584004</v>
      </c>
      <c r="O84" s="289">
        <f t="shared" si="33"/>
        <v>260296.32603493659</v>
      </c>
      <c r="P84" s="289">
        <f t="shared" si="33"/>
        <v>303915.97167806159</v>
      </c>
      <c r="Q84" s="289">
        <f t="shared" si="33"/>
        <v>347258.49759405851</v>
      </c>
      <c r="R84" s="289">
        <f t="shared" si="33"/>
        <v>389751.17006072216</v>
      </c>
      <c r="S84" s="289">
        <f t="shared" si="33"/>
        <v>431410.65287117672</v>
      </c>
      <c r="T84" s="289">
        <f t="shared" si="33"/>
        <v>431410.65287117672</v>
      </c>
      <c r="U84" s="289">
        <f t="shared" si="33"/>
        <v>431410.65287117672</v>
      </c>
      <c r="V84" s="289">
        <f t="shared" si="33"/>
        <v>431410.65287117672</v>
      </c>
      <c r="W84" s="265"/>
      <c r="X84" s="265"/>
      <c r="Y84" s="265"/>
    </row>
    <row r="85" spans="1:26" s="188" customFormat="1" x14ac:dyDescent="0.25">
      <c r="A85" s="188" t="s">
        <v>351</v>
      </c>
      <c r="B85" s="47"/>
      <c r="C85" s="47"/>
      <c r="D85" s="47"/>
      <c r="E85" s="47"/>
      <c r="F85" s="198"/>
      <c r="I85" s="198"/>
      <c r="N85" s="198"/>
    </row>
    <row r="86" spans="1:26" x14ac:dyDescent="0.25">
      <c r="A86" t="str">
        <f>A64</f>
        <v>Селекционера</v>
      </c>
      <c r="B86" s="64">
        <f>IF(AND(B81&lt;0,C81&gt;0),B$2+(-B81/(-B81+C81)),0)</f>
        <v>0</v>
      </c>
      <c r="C86" s="64">
        <f t="shared" ref="C86:S89" si="36">IF(AND(C81&lt;0,D81&gt;0),C$2+(-C81/(-C81+D81)),0)</f>
        <v>0</v>
      </c>
      <c r="D86" s="64">
        <f t="shared" si="36"/>
        <v>0</v>
      </c>
      <c r="E86" s="64">
        <f t="shared" si="36"/>
        <v>0</v>
      </c>
      <c r="F86" s="64">
        <f t="shared" si="36"/>
        <v>5.5767380451248325</v>
      </c>
      <c r="G86" s="64">
        <f t="shared" si="36"/>
        <v>0</v>
      </c>
      <c r="H86" s="64">
        <f t="shared" si="36"/>
        <v>0</v>
      </c>
      <c r="I86" s="64">
        <f t="shared" si="36"/>
        <v>0</v>
      </c>
      <c r="J86" s="64">
        <f t="shared" si="36"/>
        <v>0</v>
      </c>
      <c r="K86" s="64">
        <f t="shared" si="36"/>
        <v>0</v>
      </c>
      <c r="L86" s="64">
        <f t="shared" si="36"/>
        <v>0</v>
      </c>
      <c r="M86" s="64">
        <f t="shared" si="36"/>
        <v>0</v>
      </c>
      <c r="N86" s="64">
        <f t="shared" si="36"/>
        <v>0</v>
      </c>
      <c r="O86" s="64">
        <f t="shared" si="36"/>
        <v>0</v>
      </c>
      <c r="P86" s="64">
        <f t="shared" si="36"/>
        <v>0</v>
      </c>
      <c r="Q86" s="64">
        <f t="shared" si="36"/>
        <v>0</v>
      </c>
      <c r="R86" s="64">
        <f t="shared" si="36"/>
        <v>0</v>
      </c>
      <c r="S86" s="64">
        <f t="shared" si="36"/>
        <v>0</v>
      </c>
      <c r="T86" s="64">
        <f t="shared" ref="T86:V89" si="37">IF(AND(T81&lt;0,V81&gt;0),T$2+(-T81/(-T81+V81)),0)</f>
        <v>0</v>
      </c>
      <c r="U86" s="64">
        <f t="shared" si="37"/>
        <v>0</v>
      </c>
      <c r="V86" s="64">
        <f t="shared" si="37"/>
        <v>0</v>
      </c>
      <c r="W86" s="279" t="s">
        <v>346</v>
      </c>
      <c r="X86" s="280">
        <f>MAX(B86:V86)</f>
        <v>5.5767380451248325</v>
      </c>
      <c r="Y86" s="588" t="s">
        <v>370</v>
      </c>
      <c r="Z86" s="588"/>
    </row>
    <row r="87" spans="1:26" x14ac:dyDescent="0.25">
      <c r="A87" t="str">
        <f>A65</f>
        <v>Товарное производство</v>
      </c>
      <c r="B87" s="64">
        <f>IF(AND(B82&lt;0,C82&gt;0),B$2+(-B82/(-B82+C82)),0)</f>
        <v>0</v>
      </c>
      <c r="C87" s="64">
        <f t="shared" ref="C87:Q87" si="38">IF(AND(C82&lt;0,D82&gt;0),C$2+(-C82/(-C82+D82)),0)</f>
        <v>0</v>
      </c>
      <c r="D87" s="64">
        <f t="shared" si="38"/>
        <v>0</v>
      </c>
      <c r="E87" s="64">
        <f t="shared" si="38"/>
        <v>0</v>
      </c>
      <c r="F87" s="64">
        <f t="shared" si="38"/>
        <v>0</v>
      </c>
      <c r="G87" s="64">
        <f t="shared" si="38"/>
        <v>0</v>
      </c>
      <c r="H87" s="64">
        <f t="shared" si="38"/>
        <v>0</v>
      </c>
      <c r="I87" s="64">
        <f t="shared" si="38"/>
        <v>0</v>
      </c>
      <c r="J87" s="64">
        <f t="shared" si="38"/>
        <v>0</v>
      </c>
      <c r="K87" s="64">
        <f t="shared" si="38"/>
        <v>0</v>
      </c>
      <c r="L87" s="64">
        <f t="shared" si="38"/>
        <v>0</v>
      </c>
      <c r="M87" s="64">
        <f t="shared" si="38"/>
        <v>0</v>
      </c>
      <c r="N87" s="64">
        <f t="shared" si="38"/>
        <v>0</v>
      </c>
      <c r="O87" s="64">
        <f t="shared" si="38"/>
        <v>0</v>
      </c>
      <c r="P87" s="64">
        <f t="shared" si="38"/>
        <v>0</v>
      </c>
      <c r="Q87" s="64">
        <f t="shared" si="38"/>
        <v>0</v>
      </c>
      <c r="R87" s="64">
        <f t="shared" si="36"/>
        <v>0</v>
      </c>
      <c r="S87" s="64">
        <f t="shared" si="36"/>
        <v>0</v>
      </c>
      <c r="T87" s="64">
        <f t="shared" si="37"/>
        <v>0</v>
      </c>
      <c r="U87" s="64">
        <f t="shared" si="37"/>
        <v>0</v>
      </c>
      <c r="V87" s="64">
        <f t="shared" si="37"/>
        <v>0</v>
      </c>
      <c r="W87" s="279" t="s">
        <v>346</v>
      </c>
      <c r="X87" s="280">
        <f>MAX(B87:V87)</f>
        <v>0</v>
      </c>
      <c r="Y87" s="588"/>
      <c r="Z87" s="588"/>
    </row>
    <row r="88" spans="1:26" x14ac:dyDescent="0.25">
      <c r="A88" t="str">
        <f>A66</f>
        <v>Семеноводство</v>
      </c>
      <c r="B88" s="64">
        <f>IF(AND(B83&lt;0,C83&gt;0),B$2+(-B83/(-B83+C83)),0)</f>
        <v>0</v>
      </c>
      <c r="C88" s="64">
        <f t="shared" si="36"/>
        <v>0</v>
      </c>
      <c r="D88" s="64">
        <f t="shared" si="36"/>
        <v>0</v>
      </c>
      <c r="E88" s="64">
        <f t="shared" si="36"/>
        <v>0</v>
      </c>
      <c r="F88" s="64">
        <f t="shared" si="36"/>
        <v>0</v>
      </c>
      <c r="G88" s="64">
        <f t="shared" si="36"/>
        <v>0</v>
      </c>
      <c r="H88" s="64">
        <f t="shared" si="36"/>
        <v>0</v>
      </c>
      <c r="I88" s="64">
        <f t="shared" si="36"/>
        <v>8.6580645161290324</v>
      </c>
      <c r="J88" s="64">
        <f t="shared" si="36"/>
        <v>0</v>
      </c>
      <c r="K88" s="64">
        <f t="shared" si="36"/>
        <v>0</v>
      </c>
      <c r="L88" s="64">
        <f t="shared" si="36"/>
        <v>11.29519984516129</v>
      </c>
      <c r="M88" s="64">
        <f t="shared" si="36"/>
        <v>0</v>
      </c>
      <c r="N88" s="64">
        <f t="shared" si="36"/>
        <v>0</v>
      </c>
      <c r="O88" s="64">
        <f t="shared" si="36"/>
        <v>0</v>
      </c>
      <c r="P88" s="64">
        <f t="shared" si="36"/>
        <v>0</v>
      </c>
      <c r="Q88" s="64">
        <f t="shared" si="36"/>
        <v>0</v>
      </c>
      <c r="R88" s="64">
        <f t="shared" si="36"/>
        <v>0</v>
      </c>
      <c r="S88" s="64">
        <f t="shared" si="36"/>
        <v>0</v>
      </c>
      <c r="T88" s="64">
        <f t="shared" si="37"/>
        <v>0</v>
      </c>
      <c r="U88" s="64">
        <f t="shared" si="37"/>
        <v>0</v>
      </c>
      <c r="V88" s="64">
        <f t="shared" si="37"/>
        <v>0</v>
      </c>
      <c r="W88" s="279" t="s">
        <v>346</v>
      </c>
      <c r="X88" s="290">
        <f>MAX(B88:V88)</f>
        <v>11.29519984516129</v>
      </c>
      <c r="Y88" s="588"/>
      <c r="Z88" s="588"/>
    </row>
    <row r="89" spans="1:26" x14ac:dyDescent="0.25">
      <c r="A89" t="s">
        <v>327</v>
      </c>
      <c r="B89" s="64">
        <f>IF(AND(B84&lt;0,C84&gt;0),B$2+(-B84/(-B84+C84)),0)</f>
        <v>0</v>
      </c>
      <c r="C89" s="64">
        <f t="shared" si="36"/>
        <v>0</v>
      </c>
      <c r="D89" s="64">
        <f t="shared" si="36"/>
        <v>0</v>
      </c>
      <c r="E89" s="64">
        <f t="shared" si="36"/>
        <v>0</v>
      </c>
      <c r="F89" s="64">
        <f t="shared" si="36"/>
        <v>5.5767380451248325</v>
      </c>
      <c r="G89" s="64">
        <f t="shared" si="36"/>
        <v>0</v>
      </c>
      <c r="H89" s="64">
        <f t="shared" si="36"/>
        <v>0</v>
      </c>
      <c r="I89" s="64">
        <f t="shared" si="36"/>
        <v>0</v>
      </c>
      <c r="J89" s="64">
        <f t="shared" si="36"/>
        <v>0</v>
      </c>
      <c r="K89" s="64">
        <f t="shared" si="36"/>
        <v>0</v>
      </c>
      <c r="L89" s="64">
        <f t="shared" si="36"/>
        <v>0</v>
      </c>
      <c r="M89" s="64">
        <f t="shared" si="36"/>
        <v>0</v>
      </c>
      <c r="N89" s="64">
        <f t="shared" si="36"/>
        <v>0</v>
      </c>
      <c r="O89" s="64">
        <f t="shared" si="36"/>
        <v>0</v>
      </c>
      <c r="P89" s="64">
        <f t="shared" si="36"/>
        <v>0</v>
      </c>
      <c r="Q89" s="64">
        <f t="shared" si="36"/>
        <v>0</v>
      </c>
      <c r="R89" s="64">
        <f t="shared" si="36"/>
        <v>0</v>
      </c>
      <c r="S89" s="64">
        <f t="shared" si="36"/>
        <v>0</v>
      </c>
      <c r="T89" s="64">
        <f t="shared" si="37"/>
        <v>0</v>
      </c>
      <c r="U89" s="64">
        <f t="shared" si="37"/>
        <v>0</v>
      </c>
      <c r="V89" s="64">
        <f t="shared" si="37"/>
        <v>0</v>
      </c>
      <c r="W89" s="279" t="s">
        <v>346</v>
      </c>
      <c r="X89" s="280">
        <f>MAX(B89:V89)</f>
        <v>5.5767380451248325</v>
      </c>
      <c r="Y89" s="588"/>
      <c r="Z89" s="588"/>
    </row>
    <row r="90" spans="1:26" s="47" customFormat="1" ht="15.75" thickBot="1" x14ac:dyDescent="0.3">
      <c r="A90" s="47" t="s">
        <v>352</v>
      </c>
      <c r="F90" s="145"/>
      <c r="I90" s="145"/>
      <c r="N90" s="145"/>
    </row>
    <row r="91" spans="1:26" ht="15.75" thickBot="1" x14ac:dyDescent="0.3">
      <c r="A91" t="s">
        <v>320</v>
      </c>
      <c r="B91" s="589" t="s">
        <v>353</v>
      </c>
      <c r="C91" s="589"/>
      <c r="D91" s="589"/>
      <c r="E91" s="589"/>
      <c r="F91" s="589"/>
      <c r="G91" s="589"/>
      <c r="H91" s="589"/>
      <c r="I91" s="589"/>
      <c r="J91" s="589"/>
      <c r="K91" s="589"/>
      <c r="L91" s="589"/>
      <c r="M91" s="589"/>
      <c r="N91" s="590" t="s">
        <v>354</v>
      </c>
      <c r="O91" s="590"/>
      <c r="P91" s="291" t="s">
        <v>355</v>
      </c>
      <c r="Q91" s="291"/>
      <c r="R91" s="591" t="s">
        <v>356</v>
      </c>
      <c r="S91" s="591"/>
      <c r="T91" s="583" t="s">
        <v>283</v>
      </c>
      <c r="U91" s="584"/>
      <c r="V91" s="584"/>
    </row>
    <row r="92" spans="1:26" ht="15.75" thickBot="1" x14ac:dyDescent="0.3">
      <c r="A92" t="s">
        <v>336</v>
      </c>
      <c r="B92" s="583" t="s">
        <v>363</v>
      </c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5"/>
    </row>
    <row r="93" spans="1:26" x14ac:dyDescent="0.25">
      <c r="A93" t="s">
        <v>322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T93" s="577" t="s">
        <v>365</v>
      </c>
      <c r="U93" s="577"/>
      <c r="V93" s="577"/>
    </row>
    <row r="94" spans="1:26" x14ac:dyDescent="0.25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</row>
    <row r="95" spans="1:26" ht="14.45" customHeight="1" thickBot="1" x14ac:dyDescent="0.3">
      <c r="A95" s="47" t="s">
        <v>357</v>
      </c>
      <c r="B95" s="299"/>
      <c r="C95" s="299"/>
      <c r="D95" s="299"/>
      <c r="E95" s="299"/>
      <c r="F95" s="299"/>
      <c r="G95" s="299"/>
      <c r="H95" s="299"/>
      <c r="I95" s="299"/>
      <c r="J95" s="299"/>
      <c r="K95" s="94"/>
      <c r="L95" s="297"/>
      <c r="M95" s="297"/>
      <c r="N95" s="297"/>
      <c r="O95" s="297"/>
      <c r="P95" s="298"/>
      <c r="Q95" s="298"/>
      <c r="R95" s="298"/>
      <c r="S95" s="298"/>
      <c r="T95" s="298"/>
      <c r="U95" s="298"/>
      <c r="V95" s="298"/>
    </row>
    <row r="96" spans="1:26" s="292" customFormat="1" ht="48.75" thickBot="1" x14ac:dyDescent="0.3">
      <c r="A96" s="292" t="s">
        <v>320</v>
      </c>
      <c r="B96" s="293" t="s">
        <v>358</v>
      </c>
      <c r="C96" s="294" t="s">
        <v>97</v>
      </c>
      <c r="D96" s="578" t="s">
        <v>359</v>
      </c>
      <c r="E96" s="578"/>
      <c r="F96" s="296" t="s">
        <v>360</v>
      </c>
      <c r="G96" s="579" t="s">
        <v>361</v>
      </c>
      <c r="H96" s="579"/>
      <c r="I96" s="580" t="s">
        <v>362</v>
      </c>
      <c r="J96" s="580"/>
      <c r="K96" s="581" t="s">
        <v>283</v>
      </c>
      <c r="L96" s="582"/>
      <c r="M96" s="582"/>
      <c r="N96" s="582"/>
      <c r="O96" s="582"/>
      <c r="P96" s="582"/>
      <c r="Q96" s="582"/>
      <c r="R96" s="582"/>
      <c r="S96" s="582"/>
      <c r="T96" s="582"/>
      <c r="U96" s="582"/>
      <c r="V96" s="582"/>
      <c r="W96" s="295"/>
      <c r="X96" s="295"/>
      <c r="Y96" s="295"/>
    </row>
    <row r="97" spans="1:25" ht="15.75" thickBot="1" x14ac:dyDescent="0.3">
      <c r="A97" t="str">
        <f>A92</f>
        <v>Товарное овощеводство</v>
      </c>
      <c r="B97" s="583" t="s">
        <v>363</v>
      </c>
      <c r="C97" s="584"/>
      <c r="D97" s="584"/>
      <c r="E97" s="584"/>
      <c r="F97" s="584"/>
      <c r="G97" s="584"/>
      <c r="H97" s="584"/>
      <c r="I97" s="584"/>
      <c r="J97" s="585"/>
      <c r="K97" s="586" t="s">
        <v>364</v>
      </c>
      <c r="L97" s="587"/>
      <c r="M97" s="587"/>
      <c r="N97" s="587"/>
      <c r="O97" s="587"/>
      <c r="P97" s="587"/>
      <c r="Q97" s="587"/>
      <c r="R97" s="587"/>
      <c r="S97" s="587"/>
      <c r="T97" s="587"/>
      <c r="U97" s="587"/>
      <c r="V97" s="587"/>
    </row>
    <row r="98" spans="1:25" x14ac:dyDescent="0.25">
      <c r="A98" t="s">
        <v>322</v>
      </c>
      <c r="K98" s="577" t="s">
        <v>365</v>
      </c>
      <c r="L98" s="577"/>
      <c r="M98" s="577"/>
      <c r="N98" s="577"/>
      <c r="O98" s="577"/>
      <c r="P98" s="577"/>
      <c r="Q98" s="577"/>
      <c r="R98" s="577"/>
      <c r="S98" s="577"/>
      <c r="T98" s="577"/>
      <c r="U98" s="577"/>
      <c r="V98" s="577"/>
    </row>
    <row r="99" spans="1:25" s="94" customFormat="1" x14ac:dyDescent="0.25">
      <c r="W99" s="118"/>
      <c r="X99" s="118"/>
      <c r="Y99" s="118"/>
    </row>
    <row r="100" spans="1:25" s="94" customFormat="1" x14ac:dyDescent="0.25">
      <c r="A100" s="301" t="s">
        <v>369</v>
      </c>
      <c r="B100" s="302">
        <f>B53</f>
        <v>-12000</v>
      </c>
      <c r="C100" s="302">
        <f t="shared" ref="C100:V100" si="39">C53</f>
        <v>-15072</v>
      </c>
      <c r="D100" s="302">
        <f t="shared" si="39"/>
        <v>-19469</v>
      </c>
      <c r="E100" s="302">
        <f t="shared" si="39"/>
        <v>-23866</v>
      </c>
      <c r="F100" s="302">
        <f t="shared" si="39"/>
        <v>-23922</v>
      </c>
      <c r="G100" s="302">
        <f t="shared" si="39"/>
        <v>-23928.3</v>
      </c>
      <c r="H100" s="302">
        <f t="shared" si="39"/>
        <v>-23928.3</v>
      </c>
      <c r="I100" s="302">
        <f t="shared" si="39"/>
        <v>-23928.3</v>
      </c>
      <c r="J100" s="302">
        <f t="shared" si="39"/>
        <v>-25968.3</v>
      </c>
      <c r="K100" s="302">
        <f t="shared" si="39"/>
        <v>-17468.3</v>
      </c>
      <c r="L100" s="302">
        <f t="shared" si="39"/>
        <v>-8968.2999999999993</v>
      </c>
      <c r="M100" s="302">
        <f t="shared" si="39"/>
        <v>-2508.2999999999993</v>
      </c>
      <c r="N100" s="302">
        <f t="shared" si="39"/>
        <v>5991.7000000000007</v>
      </c>
      <c r="O100" s="302">
        <f t="shared" si="39"/>
        <v>14491.7</v>
      </c>
      <c r="P100" s="302">
        <f t="shared" si="39"/>
        <v>20951.7</v>
      </c>
      <c r="Q100" s="302">
        <f t="shared" si="39"/>
        <v>29451.7</v>
      </c>
      <c r="R100" s="302">
        <f t="shared" si="39"/>
        <v>37951.699999999997</v>
      </c>
      <c r="S100" s="302">
        <f t="shared" si="39"/>
        <v>44411.7</v>
      </c>
      <c r="T100" s="302">
        <f t="shared" si="39"/>
        <v>52911.7</v>
      </c>
      <c r="U100" s="302"/>
      <c r="V100" s="302">
        <f t="shared" si="39"/>
        <v>69911.7</v>
      </c>
      <c r="W100" s="118"/>
      <c r="X100" s="118"/>
      <c r="Y100" s="118"/>
    </row>
    <row r="101" spans="1:25" s="94" customFormat="1" x14ac:dyDescent="0.25">
      <c r="A101" s="300" t="s">
        <v>368</v>
      </c>
      <c r="B101" s="303">
        <f>B24</f>
        <v>-4397</v>
      </c>
      <c r="C101" s="303">
        <f t="shared" ref="C101:V101" si="40">C24</f>
        <v>-8794</v>
      </c>
      <c r="D101" s="303">
        <f t="shared" si="40"/>
        <v>-13191</v>
      </c>
      <c r="E101" s="303">
        <f t="shared" si="40"/>
        <v>-17588</v>
      </c>
      <c r="F101" s="303">
        <f t="shared" si="40"/>
        <v>-21985</v>
      </c>
      <c r="G101" s="303">
        <f t="shared" si="40"/>
        <v>-26382</v>
      </c>
      <c r="H101" s="303">
        <f t="shared" si="40"/>
        <v>-30779</v>
      </c>
      <c r="I101" s="303">
        <f t="shared" si="40"/>
        <v>-35176</v>
      </c>
      <c r="J101" s="303">
        <f t="shared" si="40"/>
        <v>-39573</v>
      </c>
      <c r="K101" s="303">
        <f t="shared" si="40"/>
        <v>-43970</v>
      </c>
      <c r="L101" s="303">
        <f t="shared" si="40"/>
        <v>-48367</v>
      </c>
      <c r="M101" s="303">
        <f t="shared" si="40"/>
        <v>-52764</v>
      </c>
      <c r="N101" s="303">
        <f t="shared" si="40"/>
        <v>-56252</v>
      </c>
      <c r="O101" s="303">
        <f t="shared" si="40"/>
        <v>-59740</v>
      </c>
      <c r="P101" s="303">
        <f t="shared" si="40"/>
        <v>-59746.3</v>
      </c>
      <c r="Q101" s="303">
        <f t="shared" si="40"/>
        <v>-59746.3</v>
      </c>
      <c r="R101" s="303">
        <f t="shared" si="40"/>
        <v>-59746.3</v>
      </c>
      <c r="S101" s="303">
        <f t="shared" si="40"/>
        <v>-61786.3</v>
      </c>
      <c r="T101" s="303">
        <f t="shared" si="40"/>
        <v>-53286.3</v>
      </c>
      <c r="U101" s="303"/>
      <c r="V101" s="303">
        <f t="shared" si="40"/>
        <v>-36286.300000000003</v>
      </c>
      <c r="W101" s="118"/>
      <c r="X101" s="118"/>
      <c r="Y101" s="118"/>
    </row>
    <row r="102" spans="1:25" s="94" customFormat="1" x14ac:dyDescent="0.25">
      <c r="W102" s="118"/>
      <c r="X102" s="118"/>
      <c r="Y102" s="118"/>
    </row>
    <row r="103" spans="1:25" s="94" customFormat="1" x14ac:dyDescent="0.25">
      <c r="A103" s="222" t="s">
        <v>367</v>
      </c>
      <c r="B103" s="118">
        <f>8500+8500+(8500-2000)</f>
        <v>23500</v>
      </c>
      <c r="W103" s="118"/>
      <c r="X103" s="118"/>
      <c r="Y103" s="118"/>
    </row>
    <row r="104" spans="1:25" s="94" customFormat="1" x14ac:dyDescent="0.25">
      <c r="A104" s="405" t="s">
        <v>406</v>
      </c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08"/>
      <c r="X104" s="408"/>
    </row>
    <row r="105" spans="1:25" s="94" customFormat="1" x14ac:dyDescent="0.25">
      <c r="A105" s="405" t="s">
        <v>407</v>
      </c>
      <c r="B105" s="408">
        <v>0</v>
      </c>
      <c r="C105" s="408">
        <f>B105+1</f>
        <v>1</v>
      </c>
      <c r="D105" s="408">
        <f t="shared" ref="D105:W105" si="41">C105+1</f>
        <v>2</v>
      </c>
      <c r="E105" s="408">
        <f t="shared" si="41"/>
        <v>3</v>
      </c>
      <c r="F105" s="408">
        <f t="shared" si="41"/>
        <v>4</v>
      </c>
      <c r="G105" s="408">
        <f t="shared" si="41"/>
        <v>5</v>
      </c>
      <c r="H105" s="408">
        <f t="shared" si="41"/>
        <v>6</v>
      </c>
      <c r="I105" s="408">
        <f t="shared" si="41"/>
        <v>7</v>
      </c>
      <c r="J105" s="408">
        <f t="shared" si="41"/>
        <v>8</v>
      </c>
      <c r="K105" s="408">
        <f t="shared" si="41"/>
        <v>9</v>
      </c>
      <c r="L105" s="408">
        <f t="shared" si="41"/>
        <v>10</v>
      </c>
      <c r="M105" s="408">
        <f t="shared" si="41"/>
        <v>11</v>
      </c>
      <c r="N105" s="408">
        <f t="shared" si="41"/>
        <v>12</v>
      </c>
      <c r="O105" s="408">
        <f t="shared" si="41"/>
        <v>13</v>
      </c>
      <c r="P105" s="408">
        <f t="shared" si="41"/>
        <v>14</v>
      </c>
      <c r="Q105" s="408">
        <f t="shared" si="41"/>
        <v>15</v>
      </c>
      <c r="R105" s="408">
        <f t="shared" si="41"/>
        <v>16</v>
      </c>
      <c r="S105" s="408">
        <f t="shared" si="41"/>
        <v>17</v>
      </c>
      <c r="T105" s="408">
        <f t="shared" si="41"/>
        <v>18</v>
      </c>
      <c r="U105" s="408">
        <f t="shared" si="41"/>
        <v>19</v>
      </c>
      <c r="V105" s="408">
        <f t="shared" si="41"/>
        <v>20</v>
      </c>
      <c r="W105" s="408">
        <f t="shared" si="41"/>
        <v>21</v>
      </c>
      <c r="X105" s="408"/>
    </row>
    <row r="106" spans="1:25" s="94" customFormat="1" x14ac:dyDescent="0.25">
      <c r="A106" s="405"/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08"/>
      <c r="X106" s="408"/>
    </row>
    <row r="107" spans="1:25" s="410" customFormat="1" ht="12" x14ac:dyDescent="0.2">
      <c r="A107" s="410" t="s">
        <v>408</v>
      </c>
      <c r="B107" s="412">
        <f>B35</f>
        <v>947000</v>
      </c>
      <c r="C107" s="412">
        <f t="shared" ref="C107:V107" si="42">C35</f>
        <v>938072</v>
      </c>
      <c r="D107" s="412">
        <f t="shared" si="42"/>
        <v>939397</v>
      </c>
      <c r="E107" s="412">
        <f t="shared" si="42"/>
        <v>939397</v>
      </c>
      <c r="F107" s="412">
        <f t="shared" si="42"/>
        <v>935056</v>
      </c>
      <c r="G107" s="412">
        <f t="shared" si="42"/>
        <v>935006.3</v>
      </c>
      <c r="H107" s="412">
        <f t="shared" si="42"/>
        <v>935000</v>
      </c>
      <c r="I107" s="412">
        <f t="shared" si="42"/>
        <v>935800</v>
      </c>
      <c r="J107" s="412">
        <f t="shared" si="42"/>
        <v>937840</v>
      </c>
      <c r="K107" s="412">
        <f t="shared" si="42"/>
        <v>884000</v>
      </c>
      <c r="L107" s="412">
        <f t="shared" si="42"/>
        <v>884800</v>
      </c>
      <c r="M107" s="412">
        <f t="shared" si="42"/>
        <v>886840</v>
      </c>
      <c r="N107" s="412">
        <f t="shared" si="42"/>
        <v>884000</v>
      </c>
      <c r="O107" s="412">
        <f t="shared" si="42"/>
        <v>884800</v>
      </c>
      <c r="P107" s="412">
        <f t="shared" si="42"/>
        <v>886840</v>
      </c>
      <c r="Q107" s="412">
        <f t="shared" si="42"/>
        <v>884000</v>
      </c>
      <c r="R107" s="412">
        <f t="shared" si="42"/>
        <v>884800</v>
      </c>
      <c r="S107" s="412">
        <f t="shared" si="42"/>
        <v>886840</v>
      </c>
      <c r="T107" s="412">
        <f t="shared" si="42"/>
        <v>884000</v>
      </c>
      <c r="U107" s="412">
        <f t="shared" si="42"/>
        <v>884000</v>
      </c>
      <c r="V107" s="412">
        <f t="shared" si="42"/>
        <v>884000</v>
      </c>
      <c r="W107" s="414" t="s">
        <v>82</v>
      </c>
      <c r="X107" s="413">
        <f>SUM(B107:W107)</f>
        <v>19061488.300000001</v>
      </c>
    </row>
    <row r="108" spans="1:25" s="410" customFormat="1" ht="12" x14ac:dyDescent="0.2">
      <c r="A108" s="410" t="s">
        <v>409</v>
      </c>
      <c r="C108" s="412">
        <f>B40</f>
        <v>2805000</v>
      </c>
      <c r="D108" s="412">
        <f t="shared" ref="D108:V108" si="43">C40</f>
        <v>2805000</v>
      </c>
      <c r="E108" s="412">
        <f t="shared" si="43"/>
        <v>2805000</v>
      </c>
      <c r="F108" s="412">
        <f t="shared" si="43"/>
        <v>2805000</v>
      </c>
      <c r="G108" s="412">
        <f t="shared" si="43"/>
        <v>2805000</v>
      </c>
      <c r="H108" s="412">
        <f t="shared" si="43"/>
        <v>2805000</v>
      </c>
      <c r="I108" s="412">
        <f t="shared" si="43"/>
        <v>2805000</v>
      </c>
      <c r="J108" s="412">
        <f t="shared" si="43"/>
        <v>2805000</v>
      </c>
      <c r="K108" s="412">
        <f t="shared" si="43"/>
        <v>2807040</v>
      </c>
      <c r="L108" s="412">
        <f t="shared" si="43"/>
        <v>2813500</v>
      </c>
      <c r="M108" s="412">
        <f t="shared" si="43"/>
        <v>2813500</v>
      </c>
      <c r="N108" s="412">
        <f t="shared" si="43"/>
        <v>2815540</v>
      </c>
      <c r="O108" s="412">
        <f t="shared" si="43"/>
        <v>2813500</v>
      </c>
      <c r="P108" s="412">
        <f t="shared" si="43"/>
        <v>2813500</v>
      </c>
      <c r="Q108" s="412">
        <f t="shared" si="43"/>
        <v>2815540</v>
      </c>
      <c r="R108" s="412">
        <f t="shared" si="43"/>
        <v>2813500</v>
      </c>
      <c r="S108" s="412">
        <f t="shared" si="43"/>
        <v>2813500</v>
      </c>
      <c r="T108" s="412">
        <f t="shared" si="43"/>
        <v>2815540</v>
      </c>
      <c r="U108" s="412">
        <f t="shared" si="43"/>
        <v>2813500</v>
      </c>
      <c r="V108" s="412">
        <f t="shared" si="43"/>
        <v>2813500</v>
      </c>
      <c r="W108" s="413">
        <f>V89</f>
        <v>0</v>
      </c>
      <c r="X108" s="413">
        <f>SUM(B108:W108)</f>
        <v>56201660</v>
      </c>
    </row>
    <row r="109" spans="1:25" s="411" customFormat="1" ht="11.25" x14ac:dyDescent="0.2">
      <c r="A109" s="411" t="s">
        <v>410</v>
      </c>
      <c r="B109" s="412">
        <f>B108-B107</f>
        <v>-947000</v>
      </c>
      <c r="C109" s="412">
        <f t="shared" ref="C109:V109" si="44">C108-C107</f>
        <v>1866928</v>
      </c>
      <c r="D109" s="412">
        <f t="shared" si="44"/>
        <v>1865603</v>
      </c>
      <c r="E109" s="412">
        <f t="shared" si="44"/>
        <v>1865603</v>
      </c>
      <c r="F109" s="412">
        <f t="shared" si="44"/>
        <v>1869944</v>
      </c>
      <c r="G109" s="412">
        <f t="shared" si="44"/>
        <v>1869993.7</v>
      </c>
      <c r="H109" s="412">
        <f t="shared" si="44"/>
        <v>1870000</v>
      </c>
      <c r="I109" s="412">
        <f t="shared" si="44"/>
        <v>1869200</v>
      </c>
      <c r="J109" s="412">
        <f t="shared" si="44"/>
        <v>1867160</v>
      </c>
      <c r="K109" s="412">
        <f t="shared" si="44"/>
        <v>1923040</v>
      </c>
      <c r="L109" s="412">
        <f t="shared" si="44"/>
        <v>1928700</v>
      </c>
      <c r="M109" s="412">
        <f t="shared" si="44"/>
        <v>1926660</v>
      </c>
      <c r="N109" s="412">
        <f t="shared" si="44"/>
        <v>1931540</v>
      </c>
      <c r="O109" s="412">
        <f t="shared" si="44"/>
        <v>1928700</v>
      </c>
      <c r="P109" s="412">
        <f t="shared" si="44"/>
        <v>1926660</v>
      </c>
      <c r="Q109" s="412">
        <f t="shared" si="44"/>
        <v>1931540</v>
      </c>
      <c r="R109" s="412">
        <f t="shared" si="44"/>
        <v>1928700</v>
      </c>
      <c r="S109" s="412">
        <f t="shared" si="44"/>
        <v>1926660</v>
      </c>
      <c r="T109" s="412">
        <f t="shared" si="44"/>
        <v>1931540</v>
      </c>
      <c r="U109" s="412">
        <f t="shared" si="44"/>
        <v>1929500</v>
      </c>
      <c r="V109" s="412">
        <f t="shared" si="44"/>
        <v>1929500</v>
      </c>
      <c r="W109" s="412">
        <v>0</v>
      </c>
      <c r="X109" s="412">
        <f>SUM(B109:W109)</f>
        <v>37140171.700000003</v>
      </c>
    </row>
    <row r="110" spans="1:25" s="417" customFormat="1" ht="9" x14ac:dyDescent="0.15">
      <c r="A110" s="417" t="s">
        <v>41</v>
      </c>
      <c r="B110" s="416">
        <f>B109</f>
        <v>-947000</v>
      </c>
      <c r="C110" s="416">
        <f>B110+C109</f>
        <v>919928</v>
      </c>
      <c r="D110" s="416">
        <f t="shared" ref="D110:W110" si="45">C110+D109</f>
        <v>2785531</v>
      </c>
      <c r="E110" s="416">
        <f t="shared" si="45"/>
        <v>4651134</v>
      </c>
      <c r="F110" s="416">
        <f t="shared" si="45"/>
        <v>6521078</v>
      </c>
      <c r="G110" s="416">
        <f t="shared" si="45"/>
        <v>8391071.6999999993</v>
      </c>
      <c r="H110" s="416">
        <f t="shared" si="45"/>
        <v>10261071.699999999</v>
      </c>
      <c r="I110" s="416">
        <f t="shared" si="45"/>
        <v>12130271.699999999</v>
      </c>
      <c r="J110" s="416">
        <f t="shared" si="45"/>
        <v>13997431.699999999</v>
      </c>
      <c r="K110" s="416">
        <f t="shared" si="45"/>
        <v>15920471.699999999</v>
      </c>
      <c r="L110" s="416">
        <f t="shared" si="45"/>
        <v>17849171.699999999</v>
      </c>
      <c r="M110" s="416">
        <f t="shared" si="45"/>
        <v>19775831.699999999</v>
      </c>
      <c r="N110" s="416">
        <f t="shared" si="45"/>
        <v>21707371.699999999</v>
      </c>
      <c r="O110" s="416">
        <f t="shared" si="45"/>
        <v>23636071.699999999</v>
      </c>
      <c r="P110" s="416">
        <f t="shared" si="45"/>
        <v>25562731.699999999</v>
      </c>
      <c r="Q110" s="416">
        <f t="shared" si="45"/>
        <v>27494271.699999999</v>
      </c>
      <c r="R110" s="416">
        <f t="shared" si="45"/>
        <v>29422971.699999999</v>
      </c>
      <c r="S110" s="416">
        <f t="shared" si="45"/>
        <v>31349631.699999999</v>
      </c>
      <c r="T110" s="416">
        <f t="shared" si="45"/>
        <v>33281171.699999999</v>
      </c>
      <c r="U110" s="416">
        <f t="shared" si="45"/>
        <v>35210671.700000003</v>
      </c>
      <c r="V110" s="416">
        <f t="shared" si="45"/>
        <v>37140171.700000003</v>
      </c>
      <c r="W110" s="416">
        <f t="shared" si="45"/>
        <v>37140171.700000003</v>
      </c>
    </row>
    <row r="111" spans="1:25" s="409" customFormat="1" ht="11.25" x14ac:dyDescent="0.2">
      <c r="B111" s="409">
        <f>IF($C$112=B110,B105,0)</f>
        <v>0</v>
      </c>
      <c r="C111" s="409">
        <f t="shared" ref="C111:V111" si="46">IF($C$112=C110,C105,0)</f>
        <v>0</v>
      </c>
      <c r="D111" s="409">
        <f t="shared" si="46"/>
        <v>0</v>
      </c>
      <c r="E111" s="409">
        <f t="shared" si="46"/>
        <v>0</v>
      </c>
      <c r="F111" s="409">
        <f t="shared" si="46"/>
        <v>0</v>
      </c>
      <c r="G111" s="409">
        <f t="shared" si="46"/>
        <v>0</v>
      </c>
      <c r="H111" s="409">
        <f t="shared" si="46"/>
        <v>0</v>
      </c>
      <c r="I111" s="409">
        <f t="shared" si="46"/>
        <v>0</v>
      </c>
      <c r="J111" s="409">
        <f t="shared" si="46"/>
        <v>0</v>
      </c>
      <c r="K111" s="409">
        <f t="shared" si="46"/>
        <v>0</v>
      </c>
      <c r="L111" s="409">
        <f t="shared" si="46"/>
        <v>0</v>
      </c>
      <c r="M111" s="409">
        <f t="shared" si="46"/>
        <v>0</v>
      </c>
      <c r="N111" s="409">
        <f t="shared" si="46"/>
        <v>0</v>
      </c>
      <c r="O111" s="409">
        <f t="shared" si="46"/>
        <v>0</v>
      </c>
      <c r="P111" s="409">
        <f t="shared" si="46"/>
        <v>0</v>
      </c>
      <c r="Q111" s="409">
        <f t="shared" si="46"/>
        <v>0</v>
      </c>
      <c r="R111" s="409">
        <f t="shared" si="46"/>
        <v>0</v>
      </c>
      <c r="S111" s="409">
        <f t="shared" si="46"/>
        <v>0</v>
      </c>
      <c r="T111" s="409">
        <f t="shared" si="46"/>
        <v>0</v>
      </c>
      <c r="U111" s="409">
        <f t="shared" si="46"/>
        <v>0</v>
      </c>
      <c r="V111" s="409">
        <f t="shared" si="46"/>
        <v>0</v>
      </c>
      <c r="W111" s="409">
        <f>IF($C$53=W110,W$4,0)</f>
        <v>0</v>
      </c>
    </row>
    <row r="112" spans="1:25" s="410" customFormat="1" ht="12" x14ac:dyDescent="0.2">
      <c r="A112" s="410" t="s">
        <v>411</v>
      </c>
      <c r="C112" s="416">
        <f>MIN(B110:W110)</f>
        <v>-947000</v>
      </c>
      <c r="E112" s="410" t="s">
        <v>413</v>
      </c>
      <c r="G112" s="410">
        <f>MAX(B111:W111)</f>
        <v>0</v>
      </c>
      <c r="H112" s="410" t="s">
        <v>414</v>
      </c>
    </row>
    <row r="113" spans="1:25" s="410" customFormat="1" ht="12" x14ac:dyDescent="0.2">
      <c r="A113" s="410" t="s">
        <v>412</v>
      </c>
      <c r="C113" s="410">
        <f>-C112*1.2</f>
        <v>1136400</v>
      </c>
      <c r="E113" s="410" t="s">
        <v>415</v>
      </c>
    </row>
    <row r="114" spans="1:25" s="94" customFormat="1" x14ac:dyDescent="0.25">
      <c r="W114" s="118"/>
      <c r="X114" s="118"/>
      <c r="Y114" s="118"/>
    </row>
    <row r="115" spans="1:25" s="94" customFormat="1" x14ac:dyDescent="0.25">
      <c r="W115" s="118"/>
      <c r="X115" s="118"/>
      <c r="Y115" s="118"/>
    </row>
    <row r="116" spans="1:25" s="94" customFormat="1" x14ac:dyDescent="0.25">
      <c r="W116" s="118"/>
      <c r="X116" s="118"/>
      <c r="Y116" s="118"/>
    </row>
    <row r="117" spans="1:25" s="94" customFormat="1" x14ac:dyDescent="0.25">
      <c r="W117" s="118"/>
      <c r="X117" s="118"/>
      <c r="Y117" s="118"/>
    </row>
    <row r="118" spans="1:25" s="94" customFormat="1" x14ac:dyDescent="0.25">
      <c r="W118" s="118"/>
      <c r="X118" s="118"/>
      <c r="Y118" s="118"/>
    </row>
    <row r="119" spans="1:25" s="94" customFormat="1" x14ac:dyDescent="0.25">
      <c r="W119" s="118"/>
      <c r="X119" s="118"/>
      <c r="Y119" s="118"/>
    </row>
    <row r="120" spans="1:25" s="94" customFormat="1" x14ac:dyDescent="0.25">
      <c r="W120" s="118"/>
      <c r="X120" s="118"/>
      <c r="Y120" s="118"/>
    </row>
    <row r="121" spans="1:25" s="94" customFormat="1" x14ac:dyDescent="0.25">
      <c r="W121" s="118"/>
      <c r="X121" s="118"/>
      <c r="Y121" s="118"/>
    </row>
    <row r="122" spans="1:25" s="94" customFormat="1" x14ac:dyDescent="0.25">
      <c r="W122" s="118"/>
      <c r="X122" s="118"/>
      <c r="Y122" s="118"/>
    </row>
    <row r="123" spans="1:25" s="94" customFormat="1" x14ac:dyDescent="0.25">
      <c r="W123" s="118"/>
      <c r="X123" s="118"/>
      <c r="Y123" s="118"/>
    </row>
    <row r="124" spans="1:25" s="94" customFormat="1" x14ac:dyDescent="0.25">
      <c r="W124" s="118"/>
      <c r="X124" s="118"/>
      <c r="Y124" s="118"/>
    </row>
    <row r="125" spans="1:25" s="94" customFormat="1" x14ac:dyDescent="0.25">
      <c r="W125" s="118"/>
      <c r="X125" s="118"/>
      <c r="Y125" s="118"/>
    </row>
    <row r="126" spans="1:25" s="94" customFormat="1" x14ac:dyDescent="0.25">
      <c r="W126" s="118"/>
      <c r="X126" s="118"/>
      <c r="Y126" s="118"/>
    </row>
    <row r="127" spans="1:25" s="94" customFormat="1" x14ac:dyDescent="0.25">
      <c r="W127" s="118"/>
      <c r="X127" s="118"/>
      <c r="Y127" s="118"/>
    </row>
    <row r="128" spans="1:25" s="94" customFormat="1" x14ac:dyDescent="0.25">
      <c r="W128" s="118"/>
      <c r="X128" s="118"/>
      <c r="Y128" s="118"/>
    </row>
    <row r="129" spans="23:25" s="94" customFormat="1" x14ac:dyDescent="0.25">
      <c r="W129" s="118"/>
      <c r="X129" s="118"/>
      <c r="Y129" s="118"/>
    </row>
  </sheetData>
  <mergeCells count="14">
    <mergeCell ref="B92:S92"/>
    <mergeCell ref="Y86:Z89"/>
    <mergeCell ref="B91:M91"/>
    <mergeCell ref="N91:O91"/>
    <mergeCell ref="R91:S91"/>
    <mergeCell ref="T91:V91"/>
    <mergeCell ref="K98:V98"/>
    <mergeCell ref="T93:V93"/>
    <mergeCell ref="D96:E96"/>
    <mergeCell ref="G96:H96"/>
    <mergeCell ref="I96:J96"/>
    <mergeCell ref="K96:V96"/>
    <mergeCell ref="B97:J97"/>
    <mergeCell ref="K97:V9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workbookViewId="0"/>
  </sheetViews>
  <sheetFormatPr defaultRowHeight="15" x14ac:dyDescent="0.25"/>
  <cols>
    <col min="1" max="1" width="26" customWidth="1"/>
    <col min="2" max="2" width="6.28515625" customWidth="1"/>
    <col min="3" max="3" width="7.7109375" customWidth="1"/>
    <col min="4" max="4" width="6.85546875" bestFit="1" customWidth="1"/>
    <col min="5" max="5" width="7.7109375" customWidth="1"/>
    <col min="6" max="6" width="7.7109375" style="146" customWidth="1"/>
    <col min="7" max="8" width="7.7109375" customWidth="1"/>
    <col min="9" max="9" width="7.7109375" style="146" customWidth="1"/>
    <col min="10" max="13" width="7.7109375" customWidth="1"/>
    <col min="14" max="14" width="7.7109375" style="146" customWidth="1"/>
    <col min="15" max="21" width="7.7109375" customWidth="1"/>
    <col min="22" max="22" width="8.7109375" customWidth="1"/>
    <col min="23" max="23" width="9.5703125" style="188" bestFit="1" customWidth="1"/>
    <col min="24" max="24" width="12.5703125" style="188" customWidth="1"/>
    <col min="25" max="25" width="8.85546875" style="188"/>
  </cols>
  <sheetData>
    <row r="1" spans="1:25" x14ac:dyDescent="0.25">
      <c r="A1" s="418" t="s">
        <v>421</v>
      </c>
      <c r="B1" s="418"/>
      <c r="C1" s="418"/>
      <c r="D1" s="418"/>
      <c r="E1" s="418"/>
      <c r="F1" s="418"/>
      <c r="G1" s="418"/>
      <c r="H1" s="418"/>
      <c r="I1" s="121" t="s">
        <v>416</v>
      </c>
      <c r="J1" s="420">
        <v>37.663399401465448</v>
      </c>
      <c r="K1" t="s">
        <v>417</v>
      </c>
      <c r="L1" s="422">
        <f>W79</f>
        <v>76.542265700903954</v>
      </c>
      <c r="M1" s="112" t="s">
        <v>423</v>
      </c>
      <c r="N1" s="423">
        <f>X64</f>
        <v>-989908.76401961118</v>
      </c>
      <c r="O1" s="112" t="s">
        <v>424</v>
      </c>
      <c r="P1" s="424">
        <f>X66</f>
        <v>1004.143584691761</v>
      </c>
      <c r="Q1" s="112" t="s">
        <v>425</v>
      </c>
      <c r="R1" s="425">
        <f>X65</f>
        <v>348319.52181293961</v>
      </c>
    </row>
    <row r="2" spans="1:25" x14ac:dyDescent="0.25">
      <c r="B2">
        <v>1</v>
      </c>
      <c r="C2">
        <f>B2+1</f>
        <v>2</v>
      </c>
      <c r="D2">
        <f t="shared" ref="D2:V2" si="0">C2+1</f>
        <v>3</v>
      </c>
      <c r="E2">
        <f t="shared" si="0"/>
        <v>4</v>
      </c>
      <c r="F2" s="146">
        <f t="shared" si="0"/>
        <v>5</v>
      </c>
      <c r="G2" s="146">
        <f t="shared" si="0"/>
        <v>6</v>
      </c>
      <c r="H2" s="146">
        <f t="shared" si="0"/>
        <v>7</v>
      </c>
      <c r="I2" s="146">
        <f t="shared" si="0"/>
        <v>8</v>
      </c>
      <c r="J2" s="146">
        <f t="shared" si="0"/>
        <v>9</v>
      </c>
      <c r="K2" s="146">
        <f t="shared" si="0"/>
        <v>10</v>
      </c>
      <c r="L2" s="146">
        <f t="shared" si="0"/>
        <v>11</v>
      </c>
      <c r="M2" s="146">
        <f t="shared" si="0"/>
        <v>12</v>
      </c>
      <c r="N2" s="146">
        <f t="shared" si="0"/>
        <v>13</v>
      </c>
      <c r="O2" s="146">
        <f t="shared" si="0"/>
        <v>14</v>
      </c>
      <c r="P2" s="146">
        <f t="shared" si="0"/>
        <v>15</v>
      </c>
      <c r="Q2" s="146">
        <f t="shared" si="0"/>
        <v>16</v>
      </c>
      <c r="R2" s="146">
        <f t="shared" si="0"/>
        <v>17</v>
      </c>
      <c r="S2" s="146">
        <f t="shared" si="0"/>
        <v>18</v>
      </c>
      <c r="T2" s="146">
        <f t="shared" si="0"/>
        <v>19</v>
      </c>
      <c r="U2" s="146">
        <f t="shared" si="0"/>
        <v>20</v>
      </c>
      <c r="V2" s="146">
        <f t="shared" si="0"/>
        <v>21</v>
      </c>
      <c r="W2" s="188" t="s">
        <v>258</v>
      </c>
      <c r="X2" s="188" t="s">
        <v>40</v>
      </c>
    </row>
    <row r="3" spans="1:25" ht="18.75" x14ac:dyDescent="0.3">
      <c r="A3" s="262" t="s">
        <v>262</v>
      </c>
      <c r="B3" s="262"/>
      <c r="C3" s="262"/>
      <c r="D3" s="262"/>
      <c r="E3" s="262"/>
    </row>
    <row r="4" spans="1:25" x14ac:dyDescent="0.25">
      <c r="A4" s="244" t="s">
        <v>259</v>
      </c>
      <c r="B4" s="261">
        <f>'1сел'!B5+'1сел'!B6+'1сел'!B7+'1сел'!B10</f>
        <v>4397</v>
      </c>
      <c r="C4" s="261">
        <f>'1сел'!C5+'1сел'!C6+'1сел'!C7+'1сел'!C10</f>
        <v>4397</v>
      </c>
      <c r="D4" s="261">
        <f>'1сел'!D5+'1сел'!D6+'1сел'!D7+'1сел'!D10</f>
        <v>4397</v>
      </c>
      <c r="E4" s="261">
        <f>'1сел'!E5+'1сел'!E6+'1сел'!E7+'1сел'!E10</f>
        <v>4397</v>
      </c>
      <c r="F4" s="261">
        <f>'1сел'!F5+'1сел'!F6+'1сел'!F7+'1сел'!F10</f>
        <v>4397</v>
      </c>
      <c r="G4" s="261">
        <f>'1сел'!G5+'1сел'!G6+'1сел'!G7+'1сел'!G10</f>
        <v>4397</v>
      </c>
      <c r="H4" s="261">
        <f>'1сел'!H5+'1сел'!H6+'1сел'!H7+'1сел'!H10</f>
        <v>4397</v>
      </c>
      <c r="I4" s="261">
        <f>'1сел'!I5+'1сел'!I6+'1сел'!I7+'1сел'!I10</f>
        <v>4397</v>
      </c>
      <c r="J4" s="261">
        <f>'1сел'!J5+'1сел'!J6+'1сел'!J7+'1сел'!J10</f>
        <v>4397</v>
      </c>
      <c r="K4" s="261">
        <f>'1сел'!K5+'1сел'!K6+'1сел'!K7+'1сел'!K10</f>
        <v>4397</v>
      </c>
      <c r="L4" s="261">
        <f>'1сел'!L5+'1сел'!L6+'1сел'!L7+'1сел'!L10</f>
        <v>4397</v>
      </c>
      <c r="M4" s="261">
        <f>'1сел'!M5+'1сел'!M6+'1сел'!M7+'1сел'!M10</f>
        <v>4397</v>
      </c>
      <c r="N4" s="261">
        <f>'1сел'!N5+'1сел'!N6+'1сел'!N7+'1сел'!N10</f>
        <v>3488</v>
      </c>
      <c r="O4" s="261">
        <f>'1сел'!O5+'1сел'!O6+'1сел'!O7+'1сел'!O10</f>
        <v>3488</v>
      </c>
      <c r="P4" s="261">
        <f>'1сел'!P5+'1сел'!P6+'1сел'!P7+'1сел'!P10</f>
        <v>6.3</v>
      </c>
      <c r="Q4" s="261">
        <f>'1сел'!Q5+'1сел'!Q6+'1сел'!Q7+'1сел'!Q10</f>
        <v>0</v>
      </c>
      <c r="R4" s="261">
        <f>'1сел'!R5+'1сел'!R6+'1сел'!R7+'1сел'!R10</f>
        <v>0</v>
      </c>
      <c r="S4" s="261">
        <f>'1сел'!S5+'1сел'!S6+'1сел'!S7+'1сел'!S10</f>
        <v>2040</v>
      </c>
      <c r="T4" s="261">
        <f>'1сел'!T5+'1сел'!T6+'1сел'!T7+'1сел'!T10</f>
        <v>0</v>
      </c>
      <c r="U4" s="261">
        <f>'1сел'!U5+'1сел'!U6+'1сел'!U7+'1сел'!U10</f>
        <v>0</v>
      </c>
      <c r="V4" s="261">
        <f>'1сел'!V5+'1сел'!V6+'1сел'!V7+'1сел'!V10</f>
        <v>0</v>
      </c>
      <c r="W4" s="199">
        <f t="shared" ref="W4:W22" si="1">SUM(B4:V4)</f>
        <v>61786.3</v>
      </c>
      <c r="X4" s="189">
        <f>NPV('1сел'!$X$1,B4:V4)</f>
        <v>53272.586999344836</v>
      </c>
    </row>
    <row r="5" spans="1:25" x14ac:dyDescent="0.25">
      <c r="A5" s="244" t="s">
        <v>261</v>
      </c>
      <c r="B5" s="58">
        <f>('3товар'!B4+'3товар'!B5)*1000</f>
        <v>935000</v>
      </c>
      <c r="C5" s="58">
        <f>('3товар'!C4+'3товар'!C5)*1000</f>
        <v>935000</v>
      </c>
      <c r="D5" s="58">
        <f>('3товар'!D4+'3товар'!D5)*1000</f>
        <v>935000</v>
      </c>
      <c r="E5" s="58">
        <f>('3товар'!E4+'3товар'!E5)*1000</f>
        <v>935000</v>
      </c>
      <c r="F5" s="251">
        <f>('3товар'!F4+'3товар'!F5)*1000</f>
        <v>935000</v>
      </c>
      <c r="G5" s="58">
        <f>('3товар'!G4+'3товар'!G5)*1000</f>
        <v>935000</v>
      </c>
      <c r="H5" s="58">
        <f>('3товар'!H4+'3товар'!H5)*1000</f>
        <v>935000</v>
      </c>
      <c r="I5" s="251">
        <f>('3товар'!I4+'3товар'!I5)*1000</f>
        <v>935000</v>
      </c>
      <c r="J5" s="58">
        <f>('3товар'!J4+'3товар'!J5)*1000</f>
        <v>935000</v>
      </c>
      <c r="K5" s="58">
        <f>('3товар'!K4+'3товар'!K5)*1000</f>
        <v>935000</v>
      </c>
      <c r="L5" s="58">
        <f>('3товар'!L4+'3товар'!L5)*1000</f>
        <v>935000</v>
      </c>
      <c r="M5" s="58">
        <f>('3товар'!M4+'3товар'!M5)*1000</f>
        <v>935000</v>
      </c>
      <c r="N5" s="251">
        <f>('3товар'!N4+'3товар'!N5)*1000</f>
        <v>935000</v>
      </c>
      <c r="O5" s="58">
        <f>('3товар'!O4+'3товар'!O5)*1000</f>
        <v>935000</v>
      </c>
      <c r="P5" s="58">
        <f>('3товар'!P4+'3товар'!P5)*1000</f>
        <v>935000</v>
      </c>
      <c r="Q5" s="58">
        <f>('3товар'!Q4+'3товар'!Q5)*1000</f>
        <v>935000</v>
      </c>
      <c r="R5" s="58">
        <f>('3товар'!R4+'3товар'!R5)*1000</f>
        <v>935000</v>
      </c>
      <c r="S5" s="58">
        <f>('3товар'!S4+'3товар'!S5)*1000</f>
        <v>935000</v>
      </c>
      <c r="T5" s="58">
        <f>('3товар'!T4+'3товар'!T5)*1000</f>
        <v>884000</v>
      </c>
      <c r="U5" s="58">
        <f>('3товар'!U4+'3товар'!U5)*1000</f>
        <v>884000</v>
      </c>
      <c r="V5" s="58">
        <f>('3товар'!V4+'3товар'!V5)*1000</f>
        <v>884000</v>
      </c>
      <c r="W5" s="199">
        <f t="shared" si="1"/>
        <v>19482000</v>
      </c>
      <c r="X5" s="189">
        <f>NPV('1сел'!$X$1,B5:V5)</f>
        <v>15802502.492488489</v>
      </c>
    </row>
    <row r="6" spans="1:25" x14ac:dyDescent="0.25">
      <c r="A6" s="244" t="s">
        <v>260</v>
      </c>
      <c r="B6" s="247">
        <f>('2сем'!B4+'2сем'!B9+'2сем'!B10)</f>
        <v>0</v>
      </c>
      <c r="C6" s="247">
        <f>('2сем'!C4+'2сем'!C9+'2сем'!C10)</f>
        <v>0</v>
      </c>
      <c r="D6" s="247">
        <f>('2сем'!D4+'2сем'!D9+'2сем'!D10)</f>
        <v>0</v>
      </c>
      <c r="E6" s="247">
        <f>('2сем'!E4+'2сем'!E9+'2сем'!E10)</f>
        <v>0</v>
      </c>
      <c r="F6" s="253">
        <f>('2сем'!F4+'2сем'!F9+'2сем'!F10)</f>
        <v>0</v>
      </c>
      <c r="G6" s="247">
        <f>('2сем'!G4+'2сем'!G9+'2сем'!G10)</f>
        <v>0</v>
      </c>
      <c r="H6" s="247">
        <f>('2сем'!H4+'2сем'!H9+'2сем'!H10)</f>
        <v>0</v>
      </c>
      <c r="I6" s="253">
        <f>('2сем'!I4+'2сем'!I9+'2сем'!I10)</f>
        <v>0</v>
      </c>
      <c r="J6" s="247">
        <f>('2сем'!J4+'2сем'!J9+'2сем'!J10)</f>
        <v>0</v>
      </c>
      <c r="K6" s="247">
        <f>('2сем'!K4+'2сем'!K9+'2сем'!K10)</f>
        <v>0</v>
      </c>
      <c r="L6" s="247">
        <f>('2сем'!L4+'2сем'!L9+'2сем'!L10)</f>
        <v>0</v>
      </c>
      <c r="M6" s="247">
        <f>('2сем'!M4+'2сем'!M9+'2сем'!M10)</f>
        <v>0</v>
      </c>
      <c r="N6" s="253">
        <f>('2сем'!N4+'2сем'!N9+'2сем'!N10)</f>
        <v>0</v>
      </c>
      <c r="O6" s="247">
        <f>('2сем'!O4+'2сем'!O9+'2сем'!O10)</f>
        <v>0</v>
      </c>
      <c r="P6" s="247">
        <f>('2сем'!P4+'2сем'!P9+'2сем'!P10)</f>
        <v>0</v>
      </c>
      <c r="Q6" s="247">
        <f>('2сем'!Q4+'2сем'!Q9+'2сем'!Q10)</f>
        <v>0</v>
      </c>
      <c r="R6" s="247">
        <f>('2сем'!R4+'2сем'!R9+'2сем'!R10)</f>
        <v>800.00000000000011</v>
      </c>
      <c r="S6" s="247">
        <f>('2сем'!S4+'2сем'!S9+'2сем'!S10)</f>
        <v>800.00000000000011</v>
      </c>
      <c r="T6" s="247">
        <f>('2сем'!T4+'2сем'!T9+'2сем'!T10)</f>
        <v>0</v>
      </c>
      <c r="U6" s="247">
        <f>('2сем'!U4+'2сем'!U9+'2сем'!U10)</f>
        <v>0</v>
      </c>
      <c r="V6" s="247">
        <f>('2сем'!V4+'2сем'!V9+'2сем'!V10)</f>
        <v>0</v>
      </c>
      <c r="W6" s="199">
        <f t="shared" si="1"/>
        <v>1600.0000000000002</v>
      </c>
      <c r="X6" s="189">
        <f>NPV('1сел'!$X$1,B6:V6)</f>
        <v>1131.457549944447</v>
      </c>
    </row>
    <row r="7" spans="1:25" s="37" customFormat="1" ht="12.75" x14ac:dyDescent="0.2">
      <c r="A7" s="40" t="s">
        <v>263</v>
      </c>
      <c r="B7" s="40">
        <f>SUM(B4:B6)</f>
        <v>939397</v>
      </c>
      <c r="C7" s="40">
        <f t="shared" ref="C7:V7" si="2">SUM(C4:C6)</f>
        <v>939397</v>
      </c>
      <c r="D7" s="40">
        <f t="shared" si="2"/>
        <v>939397</v>
      </c>
      <c r="E7" s="40">
        <f t="shared" si="2"/>
        <v>939397</v>
      </c>
      <c r="F7" s="252">
        <f t="shared" si="2"/>
        <v>939397</v>
      </c>
      <c r="G7" s="40">
        <f t="shared" si="2"/>
        <v>939397</v>
      </c>
      <c r="H7" s="40">
        <f t="shared" si="2"/>
        <v>939397</v>
      </c>
      <c r="I7" s="252">
        <f t="shared" si="2"/>
        <v>939397</v>
      </c>
      <c r="J7" s="40">
        <f t="shared" si="2"/>
        <v>939397</v>
      </c>
      <c r="K7" s="40">
        <f t="shared" si="2"/>
        <v>939397</v>
      </c>
      <c r="L7" s="40">
        <f t="shared" si="2"/>
        <v>939397</v>
      </c>
      <c r="M7" s="40">
        <f t="shared" si="2"/>
        <v>939397</v>
      </c>
      <c r="N7" s="252">
        <f t="shared" si="2"/>
        <v>938488</v>
      </c>
      <c r="O7" s="40">
        <f t="shared" si="2"/>
        <v>938488</v>
      </c>
      <c r="P7" s="40">
        <f t="shared" si="2"/>
        <v>935006.3</v>
      </c>
      <c r="Q7" s="40">
        <f t="shared" si="2"/>
        <v>935000</v>
      </c>
      <c r="R7" s="40">
        <f t="shared" si="2"/>
        <v>935800</v>
      </c>
      <c r="S7" s="40">
        <f t="shared" si="2"/>
        <v>937840</v>
      </c>
      <c r="T7" s="40">
        <f t="shared" si="2"/>
        <v>884000</v>
      </c>
      <c r="U7" s="40">
        <f t="shared" si="2"/>
        <v>884000</v>
      </c>
      <c r="V7" s="40">
        <f t="shared" si="2"/>
        <v>884000</v>
      </c>
      <c r="W7" s="200">
        <f t="shared" si="1"/>
        <v>19545386.300000001</v>
      </c>
      <c r="X7" s="189">
        <f>NPV('1сел'!$X$1,B7:V7)</f>
        <v>15856906.537037784</v>
      </c>
      <c r="Y7" s="193"/>
    </row>
    <row r="8" spans="1:25" x14ac:dyDescent="0.25">
      <c r="A8" s="201" t="s">
        <v>264</v>
      </c>
      <c r="W8" s="189">
        <f t="shared" si="1"/>
        <v>0</v>
      </c>
      <c r="X8" s="189">
        <f>NPV('1сел'!$X$1,B8:V8)</f>
        <v>0</v>
      </c>
    </row>
    <row r="9" spans="1:25" x14ac:dyDescent="0.25">
      <c r="A9" s="191" t="s">
        <v>265</v>
      </c>
      <c r="B9" s="215">
        <f>'1сел'!B11</f>
        <v>0</v>
      </c>
      <c r="C9" s="215">
        <f>'1сел'!C11</f>
        <v>0</v>
      </c>
      <c r="D9" s="215">
        <f>'1сел'!D11</f>
        <v>0</v>
      </c>
      <c r="E9" s="215">
        <f>'1сел'!E11</f>
        <v>0</v>
      </c>
      <c r="F9" s="254">
        <f>'1сел'!F11</f>
        <v>0</v>
      </c>
      <c r="G9" s="215">
        <f>'1сел'!G11</f>
        <v>0</v>
      </c>
      <c r="H9" s="215">
        <f>'1сел'!H11</f>
        <v>0</v>
      </c>
      <c r="I9" s="254">
        <f>'1сел'!I11</f>
        <v>0</v>
      </c>
      <c r="J9" s="215">
        <f>'1сел'!J11</f>
        <v>0</v>
      </c>
      <c r="K9" s="215">
        <f>'1сел'!K11</f>
        <v>0</v>
      </c>
      <c r="L9" s="215">
        <f>'1сел'!L11</f>
        <v>0</v>
      </c>
      <c r="M9" s="215">
        <f>'1сел'!M11</f>
        <v>0</v>
      </c>
      <c r="N9" s="254">
        <f>'1сел'!N11</f>
        <v>0</v>
      </c>
      <c r="O9" s="215">
        <f>'1сел'!O11</f>
        <v>0</v>
      </c>
      <c r="P9" s="215">
        <f>'1сел'!P11</f>
        <v>0</v>
      </c>
      <c r="Q9" s="215">
        <f>'1сел'!Q11</f>
        <v>0</v>
      </c>
      <c r="R9" s="215">
        <f>'1сел'!R11</f>
        <v>0</v>
      </c>
      <c r="S9" s="215">
        <f>'1сел'!S11</f>
        <v>0</v>
      </c>
      <c r="T9" s="215">
        <f>'1сел'!T11</f>
        <v>8500</v>
      </c>
      <c r="U9" s="215">
        <f>'1сел'!U11</f>
        <v>8500</v>
      </c>
      <c r="V9" s="215">
        <f>'1сел'!V11</f>
        <v>8500</v>
      </c>
      <c r="W9" s="189">
        <f t="shared" si="1"/>
        <v>25500</v>
      </c>
      <c r="X9" s="189">
        <f>NPV('1сел'!$X$1,B9:V9)</f>
        <v>17163.012232032492</v>
      </c>
    </row>
    <row r="10" spans="1:25" x14ac:dyDescent="0.25">
      <c r="A10" s="191" t="s">
        <v>267</v>
      </c>
      <c r="B10" s="245">
        <f>'3товар'!B6*1000</f>
        <v>2805000</v>
      </c>
      <c r="C10" s="245">
        <f>'3товар'!C6*1000</f>
        <v>2805000</v>
      </c>
      <c r="D10" s="245">
        <f>'3товар'!D6*1000</f>
        <v>2805000</v>
      </c>
      <c r="E10" s="245">
        <f>'3товар'!E6*1000</f>
        <v>2805000</v>
      </c>
      <c r="F10" s="255">
        <f>'3товар'!F6*1000</f>
        <v>2805000</v>
      </c>
      <c r="G10" s="245">
        <f>'3товар'!G6*1000</f>
        <v>2805000</v>
      </c>
      <c r="H10" s="245">
        <f>'3товар'!H6*1000</f>
        <v>2805000</v>
      </c>
      <c r="I10" s="255">
        <f>'3товар'!I6*1000</f>
        <v>2805000</v>
      </c>
      <c r="J10" s="245">
        <f>'3товар'!J6*1000</f>
        <v>2805000</v>
      </c>
      <c r="K10" s="245">
        <f>'3товар'!K6*1000</f>
        <v>2805000</v>
      </c>
      <c r="L10" s="245">
        <f>'3товар'!L6*1000</f>
        <v>2805000</v>
      </c>
      <c r="M10" s="245">
        <f>'3товар'!M6*1000</f>
        <v>2805000</v>
      </c>
      <c r="N10" s="255">
        <f>'3товар'!N6*1000</f>
        <v>2805000</v>
      </c>
      <c r="O10" s="245">
        <f>'3товар'!O6*1000</f>
        <v>2805000</v>
      </c>
      <c r="P10" s="245">
        <f>'3товар'!P6*1000</f>
        <v>2805000</v>
      </c>
      <c r="Q10" s="245">
        <f>'3товар'!Q6*1000</f>
        <v>2805000</v>
      </c>
      <c r="R10" s="245">
        <f>'3товар'!R6*1000</f>
        <v>2805000</v>
      </c>
      <c r="S10" s="245">
        <f>'3товар'!S6*1000</f>
        <v>2805000</v>
      </c>
      <c r="T10" s="245">
        <f>'3товар'!T6*1000</f>
        <v>2805000</v>
      </c>
      <c r="U10" s="245">
        <f>'3товар'!U6*1000</f>
        <v>2805000</v>
      </c>
      <c r="V10" s="245">
        <f>'3товар'!V6*1000</f>
        <v>2805000</v>
      </c>
      <c r="W10" s="189">
        <f t="shared" si="1"/>
        <v>58905000</v>
      </c>
      <c r="X10" s="189">
        <f>NPV('1сел'!$X$1,B10:V10)</f>
        <v>47716441.697642058</v>
      </c>
    </row>
    <row r="11" spans="1:25" x14ac:dyDescent="0.25">
      <c r="A11" s="191" t="s">
        <v>266</v>
      </c>
      <c r="B11" s="215">
        <f>'2сем'!B11</f>
        <v>0</v>
      </c>
      <c r="C11" s="215">
        <f>'2сем'!C11</f>
        <v>0</v>
      </c>
      <c r="D11" s="215">
        <f>'2сем'!D11</f>
        <v>0</v>
      </c>
      <c r="E11" s="215">
        <f>'2сем'!E11</f>
        <v>0</v>
      </c>
      <c r="F11" s="254">
        <f>'2сем'!F11</f>
        <v>0</v>
      </c>
      <c r="G11" s="215">
        <f>'2сем'!G11</f>
        <v>0</v>
      </c>
      <c r="H11" s="215">
        <f>'2сем'!H11</f>
        <v>0</v>
      </c>
      <c r="I11" s="254">
        <f>'2сем'!I11</f>
        <v>0</v>
      </c>
      <c r="J11" s="215">
        <f>'2сем'!J11</f>
        <v>0</v>
      </c>
      <c r="K11" s="215">
        <f>'2сем'!K11</f>
        <v>0</v>
      </c>
      <c r="L11" s="215">
        <f>'2сем'!L11</f>
        <v>0</v>
      </c>
      <c r="M11" s="215">
        <f>'2сем'!M11</f>
        <v>0</v>
      </c>
      <c r="N11" s="254">
        <f>'2сем'!N11</f>
        <v>0</v>
      </c>
      <c r="O11" s="215">
        <f>'2сем'!O11</f>
        <v>0</v>
      </c>
      <c r="P11" s="215">
        <f>'2сем'!P11</f>
        <v>0</v>
      </c>
      <c r="Q11" s="215">
        <f>'2сем'!Q11</f>
        <v>0</v>
      </c>
      <c r="R11" s="215">
        <f>'2сем'!R11</f>
        <v>0</v>
      </c>
      <c r="S11" s="215">
        <f>'2сем'!S11</f>
        <v>2040</v>
      </c>
      <c r="T11" s="215">
        <f>'2сем'!T11</f>
        <v>0</v>
      </c>
      <c r="U11" s="215">
        <f>'2сем'!U11</f>
        <v>0</v>
      </c>
      <c r="V11" s="215">
        <f>'2сем'!V11</f>
        <v>0</v>
      </c>
      <c r="W11" s="189">
        <f t="shared" si="1"/>
        <v>2040</v>
      </c>
      <c r="X11" s="189">
        <f>NPV('1сел'!$X$1,B11:V11)</f>
        <v>1428.325124929871</v>
      </c>
    </row>
    <row r="12" spans="1:25" s="188" customFormat="1" x14ac:dyDescent="0.25">
      <c r="A12" s="194" t="s">
        <v>263</v>
      </c>
      <c r="B12" s="194">
        <f>SUM(B9:B11)</f>
        <v>2805000</v>
      </c>
      <c r="C12" s="194">
        <f t="shared" ref="C12:V12" si="3">SUM(C9:C11)</f>
        <v>2805000</v>
      </c>
      <c r="D12" s="194">
        <f t="shared" si="3"/>
        <v>2805000</v>
      </c>
      <c r="E12" s="194">
        <f t="shared" si="3"/>
        <v>2805000</v>
      </c>
      <c r="F12" s="256">
        <f t="shared" si="3"/>
        <v>2805000</v>
      </c>
      <c r="G12" s="194">
        <f t="shared" si="3"/>
        <v>2805000</v>
      </c>
      <c r="H12" s="194">
        <f t="shared" si="3"/>
        <v>2805000</v>
      </c>
      <c r="I12" s="256">
        <f t="shared" si="3"/>
        <v>2805000</v>
      </c>
      <c r="J12" s="194">
        <f t="shared" si="3"/>
        <v>2805000</v>
      </c>
      <c r="K12" s="194">
        <f t="shared" si="3"/>
        <v>2805000</v>
      </c>
      <c r="L12" s="194">
        <f t="shared" si="3"/>
        <v>2805000</v>
      </c>
      <c r="M12" s="194">
        <f t="shared" si="3"/>
        <v>2805000</v>
      </c>
      <c r="N12" s="256">
        <f t="shared" si="3"/>
        <v>2805000</v>
      </c>
      <c r="O12" s="194">
        <f t="shared" si="3"/>
        <v>2805000</v>
      </c>
      <c r="P12" s="194">
        <f t="shared" si="3"/>
        <v>2805000</v>
      </c>
      <c r="Q12" s="194">
        <f t="shared" si="3"/>
        <v>2805000</v>
      </c>
      <c r="R12" s="194">
        <f t="shared" si="3"/>
        <v>2805000</v>
      </c>
      <c r="S12" s="194">
        <f t="shared" si="3"/>
        <v>2807040</v>
      </c>
      <c r="T12" s="194">
        <f t="shared" si="3"/>
        <v>2813500</v>
      </c>
      <c r="U12" s="194">
        <f t="shared" si="3"/>
        <v>2813500</v>
      </c>
      <c r="V12" s="194">
        <f t="shared" si="3"/>
        <v>2813500</v>
      </c>
      <c r="W12" s="189">
        <f t="shared" si="1"/>
        <v>58932540</v>
      </c>
      <c r="X12" s="189">
        <f>NPV('1сел'!$X$1,B12:V12)</f>
        <v>47735033.034999028</v>
      </c>
    </row>
    <row r="13" spans="1:25" x14ac:dyDescent="0.25">
      <c r="A13" s="48" t="s">
        <v>268</v>
      </c>
      <c r="B13" s="37">
        <f>B9-B4</f>
        <v>-4397</v>
      </c>
      <c r="C13" s="37">
        <f t="shared" ref="C13:V15" si="4">C9-C4</f>
        <v>-4397</v>
      </c>
      <c r="D13" s="37">
        <f t="shared" si="4"/>
        <v>-4397</v>
      </c>
      <c r="E13" s="37">
        <f t="shared" si="4"/>
        <v>-4397</v>
      </c>
      <c r="F13" s="257">
        <f t="shared" si="4"/>
        <v>-4397</v>
      </c>
      <c r="G13" s="37">
        <f t="shared" si="4"/>
        <v>-4397</v>
      </c>
      <c r="H13" s="37">
        <f t="shared" si="4"/>
        <v>-4397</v>
      </c>
      <c r="I13" s="257">
        <f t="shared" si="4"/>
        <v>-4397</v>
      </c>
      <c r="J13" s="37">
        <f t="shared" si="4"/>
        <v>-4397</v>
      </c>
      <c r="K13" s="37">
        <f t="shared" si="4"/>
        <v>-4397</v>
      </c>
      <c r="L13" s="37">
        <f t="shared" si="4"/>
        <v>-4397</v>
      </c>
      <c r="M13" s="37">
        <f t="shared" si="4"/>
        <v>-4397</v>
      </c>
      <c r="N13" s="257">
        <f t="shared" si="4"/>
        <v>-3488</v>
      </c>
      <c r="O13" s="37">
        <f t="shared" si="4"/>
        <v>-3488</v>
      </c>
      <c r="P13" s="37">
        <f t="shared" si="4"/>
        <v>-6.3</v>
      </c>
      <c r="Q13" s="37">
        <f t="shared" si="4"/>
        <v>0</v>
      </c>
      <c r="R13" s="37">
        <f t="shared" si="4"/>
        <v>0</v>
      </c>
      <c r="S13" s="37">
        <f t="shared" si="4"/>
        <v>-2040</v>
      </c>
      <c r="T13" s="37">
        <f t="shared" si="4"/>
        <v>8500</v>
      </c>
      <c r="U13" s="37">
        <f t="shared" si="4"/>
        <v>8500</v>
      </c>
      <c r="V13" s="37">
        <f t="shared" si="4"/>
        <v>8500</v>
      </c>
      <c r="W13" s="189">
        <f t="shared" si="1"/>
        <v>-36286.300000000003</v>
      </c>
      <c r="X13" s="189">
        <f>NPV('1сел'!$X$1,B13:V13)</f>
        <v>-36109.574767312348</v>
      </c>
    </row>
    <row r="14" spans="1:25" x14ac:dyDescent="0.25">
      <c r="A14" s="245" t="s">
        <v>269</v>
      </c>
      <c r="B14" s="245">
        <f>B10-B5</f>
        <v>1870000</v>
      </c>
      <c r="C14" s="245">
        <f t="shared" si="4"/>
        <v>1870000</v>
      </c>
      <c r="D14" s="245">
        <f t="shared" si="4"/>
        <v>1870000</v>
      </c>
      <c r="E14" s="245">
        <f t="shared" si="4"/>
        <v>1870000</v>
      </c>
      <c r="F14" s="255">
        <f t="shared" si="4"/>
        <v>1870000</v>
      </c>
      <c r="G14" s="245">
        <f t="shared" si="4"/>
        <v>1870000</v>
      </c>
      <c r="H14" s="245">
        <f t="shared" si="4"/>
        <v>1870000</v>
      </c>
      <c r="I14" s="255">
        <f t="shared" si="4"/>
        <v>1870000</v>
      </c>
      <c r="J14" s="245">
        <f t="shared" si="4"/>
        <v>1870000</v>
      </c>
      <c r="K14" s="245">
        <f t="shared" si="4"/>
        <v>1870000</v>
      </c>
      <c r="L14" s="245">
        <f t="shared" si="4"/>
        <v>1870000</v>
      </c>
      <c r="M14" s="245">
        <f t="shared" si="4"/>
        <v>1870000</v>
      </c>
      <c r="N14" s="255">
        <f t="shared" si="4"/>
        <v>1870000</v>
      </c>
      <c r="O14" s="245">
        <f t="shared" si="4"/>
        <v>1870000</v>
      </c>
      <c r="P14" s="245">
        <f t="shared" si="4"/>
        <v>1870000</v>
      </c>
      <c r="Q14" s="245">
        <f t="shared" si="4"/>
        <v>1870000</v>
      </c>
      <c r="R14" s="245">
        <f t="shared" si="4"/>
        <v>1870000</v>
      </c>
      <c r="S14" s="245">
        <f t="shared" si="4"/>
        <v>1870000</v>
      </c>
      <c r="T14" s="245">
        <f t="shared" si="4"/>
        <v>1921000</v>
      </c>
      <c r="U14" s="245">
        <f t="shared" si="4"/>
        <v>1921000</v>
      </c>
      <c r="V14" s="245">
        <f t="shared" si="4"/>
        <v>1921000</v>
      </c>
      <c r="W14" s="189">
        <f t="shared" si="1"/>
        <v>39423000</v>
      </c>
      <c r="X14" s="189">
        <f>NPV('1сел'!$X$1,B14:V14)</f>
        <v>31913939.205153566</v>
      </c>
    </row>
    <row r="15" spans="1:25" x14ac:dyDescent="0.25">
      <c r="A15" s="48" t="s">
        <v>270</v>
      </c>
      <c r="B15" s="246">
        <f>B11-B6</f>
        <v>0</v>
      </c>
      <c r="C15" s="246">
        <f t="shared" si="4"/>
        <v>0</v>
      </c>
      <c r="D15" s="246">
        <f t="shared" si="4"/>
        <v>0</v>
      </c>
      <c r="E15" s="246">
        <f t="shared" si="4"/>
        <v>0</v>
      </c>
      <c r="F15" s="258">
        <f t="shared" si="4"/>
        <v>0</v>
      </c>
      <c r="G15" s="246">
        <f t="shared" si="4"/>
        <v>0</v>
      </c>
      <c r="H15" s="246">
        <f t="shared" si="4"/>
        <v>0</v>
      </c>
      <c r="I15" s="258">
        <f t="shared" si="4"/>
        <v>0</v>
      </c>
      <c r="J15" s="246">
        <f t="shared" si="4"/>
        <v>0</v>
      </c>
      <c r="K15" s="246">
        <f t="shared" si="4"/>
        <v>0</v>
      </c>
      <c r="L15" s="246">
        <f t="shared" si="4"/>
        <v>0</v>
      </c>
      <c r="M15" s="246">
        <f t="shared" si="4"/>
        <v>0</v>
      </c>
      <c r="N15" s="258">
        <f t="shared" si="4"/>
        <v>0</v>
      </c>
      <c r="O15" s="246">
        <f t="shared" si="4"/>
        <v>0</v>
      </c>
      <c r="P15" s="246">
        <f t="shared" si="4"/>
        <v>0</v>
      </c>
      <c r="Q15" s="246">
        <f t="shared" si="4"/>
        <v>0</v>
      </c>
      <c r="R15" s="246">
        <f t="shared" si="4"/>
        <v>-800.00000000000011</v>
      </c>
      <c r="S15" s="246">
        <f t="shared" si="4"/>
        <v>1240</v>
      </c>
      <c r="T15" s="246">
        <f t="shared" si="4"/>
        <v>0</v>
      </c>
      <c r="U15" s="246">
        <f t="shared" si="4"/>
        <v>0</v>
      </c>
      <c r="V15" s="246">
        <f t="shared" si="4"/>
        <v>0</v>
      </c>
      <c r="W15" s="189">
        <f t="shared" si="1"/>
        <v>439.99999999999989</v>
      </c>
      <c r="X15" s="189">
        <f>NPV('1сел'!$X$1,B15:V15)</f>
        <v>296.86757498542408</v>
      </c>
    </row>
    <row r="16" spans="1:25" x14ac:dyDescent="0.25">
      <c r="A16" s="48" t="s">
        <v>271</v>
      </c>
      <c r="B16" s="37">
        <f>SUM(B13:B15)</f>
        <v>1865603</v>
      </c>
      <c r="C16" s="37">
        <f t="shared" ref="C16:V16" si="5">SUM(C13:C15)</f>
        <v>1865603</v>
      </c>
      <c r="D16" s="37">
        <f t="shared" si="5"/>
        <v>1865603</v>
      </c>
      <c r="E16" s="37">
        <f t="shared" si="5"/>
        <v>1865603</v>
      </c>
      <c r="F16" s="257">
        <f t="shared" si="5"/>
        <v>1865603</v>
      </c>
      <c r="G16" s="37">
        <f t="shared" si="5"/>
        <v>1865603</v>
      </c>
      <c r="H16" s="37">
        <f t="shared" si="5"/>
        <v>1865603</v>
      </c>
      <c r="I16" s="257">
        <f t="shared" si="5"/>
        <v>1865603</v>
      </c>
      <c r="J16" s="37">
        <f t="shared" si="5"/>
        <v>1865603</v>
      </c>
      <c r="K16" s="37">
        <f t="shared" si="5"/>
        <v>1865603</v>
      </c>
      <c r="L16" s="37">
        <f t="shared" si="5"/>
        <v>1865603</v>
      </c>
      <c r="M16" s="37">
        <f t="shared" si="5"/>
        <v>1865603</v>
      </c>
      <c r="N16" s="257">
        <f t="shared" si="5"/>
        <v>1866512</v>
      </c>
      <c r="O16" s="37">
        <f t="shared" si="5"/>
        <v>1866512</v>
      </c>
      <c r="P16" s="37">
        <f t="shared" si="5"/>
        <v>1869993.7</v>
      </c>
      <c r="Q16" s="37">
        <f t="shared" si="5"/>
        <v>1870000</v>
      </c>
      <c r="R16" s="37">
        <f t="shared" si="5"/>
        <v>1869200</v>
      </c>
      <c r="S16" s="37">
        <f t="shared" si="5"/>
        <v>1869200</v>
      </c>
      <c r="T16" s="37">
        <f t="shared" si="5"/>
        <v>1929500</v>
      </c>
      <c r="U16" s="37">
        <f t="shared" si="5"/>
        <v>1929500</v>
      </c>
      <c r="V16" s="37">
        <f t="shared" si="5"/>
        <v>1929500</v>
      </c>
      <c r="W16" s="277">
        <f t="shared" si="1"/>
        <v>39387153.700000003</v>
      </c>
      <c r="X16" s="189">
        <f>NPV('1сел'!$X$1,B16:V16)</f>
        <v>31878126.497961242</v>
      </c>
    </row>
    <row r="17" spans="1:25" s="146" customFormat="1" x14ac:dyDescent="0.25">
      <c r="A17" s="195" t="s">
        <v>318</v>
      </c>
      <c r="B17" s="196">
        <f t="shared" ref="B17:V17" si="6">B22-B16</f>
        <v>0</v>
      </c>
      <c r="C17" s="196">
        <f t="shared" si="6"/>
        <v>0</v>
      </c>
      <c r="D17" s="196">
        <f t="shared" si="6"/>
        <v>0</v>
      </c>
      <c r="E17" s="196">
        <f t="shared" si="6"/>
        <v>0</v>
      </c>
      <c r="F17" s="196">
        <f t="shared" si="6"/>
        <v>0</v>
      </c>
      <c r="G17" s="196">
        <f t="shared" si="6"/>
        <v>0</v>
      </c>
      <c r="H17" s="196">
        <f t="shared" si="6"/>
        <v>0</v>
      </c>
      <c r="I17" s="196">
        <f t="shared" si="6"/>
        <v>0</v>
      </c>
      <c r="J17" s="196">
        <f t="shared" si="6"/>
        <v>0</v>
      </c>
      <c r="K17" s="196">
        <f t="shared" si="6"/>
        <v>0</v>
      </c>
      <c r="L17" s="196">
        <f t="shared" si="6"/>
        <v>0</v>
      </c>
      <c r="M17" s="196">
        <f t="shared" si="6"/>
        <v>0</v>
      </c>
      <c r="N17" s="196">
        <f t="shared" si="6"/>
        <v>0</v>
      </c>
      <c r="O17" s="196">
        <f t="shared" si="6"/>
        <v>0</v>
      </c>
      <c r="P17" s="196">
        <f t="shared" si="6"/>
        <v>0</v>
      </c>
      <c r="Q17" s="196">
        <f t="shared" si="6"/>
        <v>0</v>
      </c>
      <c r="R17" s="196">
        <f t="shared" si="6"/>
        <v>0</v>
      </c>
      <c r="S17" s="196">
        <f t="shared" si="6"/>
        <v>0</v>
      </c>
      <c r="T17" s="196">
        <f t="shared" si="6"/>
        <v>0</v>
      </c>
      <c r="U17" s="196">
        <f t="shared" si="6"/>
        <v>0</v>
      </c>
      <c r="V17" s="196">
        <f t="shared" si="6"/>
        <v>0</v>
      </c>
      <c r="W17" s="197">
        <f t="shared" si="1"/>
        <v>0</v>
      </c>
      <c r="X17" s="189">
        <f>NPV('1сел'!$X$1,B17:V17)</f>
        <v>0</v>
      </c>
      <c r="Y17" s="198"/>
    </row>
    <row r="18" spans="1:25" x14ac:dyDescent="0.25">
      <c r="A18" s="48" t="s">
        <v>272</v>
      </c>
      <c r="B18" s="48">
        <f>B12-B7</f>
        <v>1865603</v>
      </c>
      <c r="C18" s="48">
        <f t="shared" ref="C18:V18" si="7">C12-C7</f>
        <v>1865603</v>
      </c>
      <c r="D18" s="48">
        <f t="shared" si="7"/>
        <v>1865603</v>
      </c>
      <c r="E18" s="48">
        <f t="shared" si="7"/>
        <v>1865603</v>
      </c>
      <c r="F18" s="195">
        <f t="shared" si="7"/>
        <v>1865603</v>
      </c>
      <c r="G18" s="48">
        <f t="shared" si="7"/>
        <v>1865603</v>
      </c>
      <c r="H18" s="48">
        <f t="shared" si="7"/>
        <v>1865603</v>
      </c>
      <c r="I18" s="195">
        <f t="shared" si="7"/>
        <v>1865603</v>
      </c>
      <c r="J18" s="48">
        <f t="shared" si="7"/>
        <v>1865603</v>
      </c>
      <c r="K18" s="48">
        <f t="shared" si="7"/>
        <v>1865603</v>
      </c>
      <c r="L18" s="48">
        <f t="shared" si="7"/>
        <v>1865603</v>
      </c>
      <c r="M18" s="48">
        <f t="shared" si="7"/>
        <v>1865603</v>
      </c>
      <c r="N18" s="195">
        <f t="shared" si="7"/>
        <v>1866512</v>
      </c>
      <c r="O18" s="48">
        <f t="shared" si="7"/>
        <v>1866512</v>
      </c>
      <c r="P18" s="48">
        <f t="shared" si="7"/>
        <v>1869993.7</v>
      </c>
      <c r="Q18" s="48">
        <f t="shared" si="7"/>
        <v>1870000</v>
      </c>
      <c r="R18" s="48">
        <f t="shared" si="7"/>
        <v>1869200</v>
      </c>
      <c r="S18" s="48">
        <f t="shared" si="7"/>
        <v>1869200</v>
      </c>
      <c r="T18" s="48">
        <f t="shared" si="7"/>
        <v>1929500</v>
      </c>
      <c r="U18" s="48">
        <f t="shared" si="7"/>
        <v>1929500</v>
      </c>
      <c r="V18" s="48">
        <f t="shared" si="7"/>
        <v>1929500</v>
      </c>
      <c r="W18" s="277">
        <f t="shared" si="1"/>
        <v>39387153.700000003</v>
      </c>
      <c r="X18" s="189">
        <f>NPV('1сел'!$X$1,B18:V18)</f>
        <v>31878126.497961242</v>
      </c>
    </row>
    <row r="19" spans="1:25" s="21" customFormat="1" ht="12.75" x14ac:dyDescent="0.2">
      <c r="A19" s="21" t="s">
        <v>85</v>
      </c>
      <c r="B19" s="248">
        <f>'1сел'!B13</f>
        <v>-4397</v>
      </c>
      <c r="C19" s="248">
        <f>'1сел'!C13</f>
        <v>-4397</v>
      </c>
      <c r="D19" s="248">
        <f>'1сел'!D13</f>
        <v>-4397</v>
      </c>
      <c r="E19" s="248">
        <f>'1сел'!E13</f>
        <v>-4397</v>
      </c>
      <c r="F19" s="259">
        <f>'1сел'!F13</f>
        <v>-4397</v>
      </c>
      <c r="G19" s="248">
        <f>'1сел'!G13</f>
        <v>-4397</v>
      </c>
      <c r="H19" s="248">
        <f>'1сел'!H13</f>
        <v>-4397</v>
      </c>
      <c r="I19" s="259">
        <f>'1сел'!I13</f>
        <v>-4397</v>
      </c>
      <c r="J19" s="248">
        <f>'1сел'!J13</f>
        <v>-4397</v>
      </c>
      <c r="K19" s="248">
        <f>'1сел'!K13</f>
        <v>-4397</v>
      </c>
      <c r="L19" s="248">
        <f>'1сел'!L13</f>
        <v>-4397</v>
      </c>
      <c r="M19" s="248">
        <f>'1сел'!M13</f>
        <v>-4397</v>
      </c>
      <c r="N19" s="259">
        <f>'1сел'!N13</f>
        <v>-3488</v>
      </c>
      <c r="O19" s="248">
        <f>'1сел'!O13</f>
        <v>-3488</v>
      </c>
      <c r="P19" s="249">
        <f>'1сел'!P13</f>
        <v>-6.3</v>
      </c>
      <c r="Q19" s="248">
        <f>'1сел'!Q13</f>
        <v>0</v>
      </c>
      <c r="R19" s="248">
        <f>'1сел'!R13</f>
        <v>0</v>
      </c>
      <c r="S19" s="248">
        <f>'1сел'!S13</f>
        <v>-2040</v>
      </c>
      <c r="T19" s="248">
        <f>'1сел'!T13</f>
        <v>8500</v>
      </c>
      <c r="U19" s="248">
        <f>'1сел'!U13</f>
        <v>8500</v>
      </c>
      <c r="V19" s="248">
        <f>'1сел'!V13</f>
        <v>8500</v>
      </c>
      <c r="W19" s="189">
        <f t="shared" si="1"/>
        <v>-36286.300000000003</v>
      </c>
      <c r="X19" s="189">
        <f>NPV('1сел'!$X$1,B19:V19)</f>
        <v>-36109.574767312348</v>
      </c>
      <c r="Y19" s="190">
        <f>W19/$W$22</f>
        <v>-9.2127246046723097E-4</v>
      </c>
    </row>
    <row r="20" spans="1:25" x14ac:dyDescent="0.25">
      <c r="A20" t="s">
        <v>86</v>
      </c>
      <c r="B20" s="48">
        <f>'3товар'!B7*1000</f>
        <v>1870000</v>
      </c>
      <c r="C20" s="48">
        <f>'3товар'!C7*1000</f>
        <v>1870000</v>
      </c>
      <c r="D20" s="48">
        <f>'3товар'!D7*1000</f>
        <v>1870000</v>
      </c>
      <c r="E20" s="48">
        <f>'3товар'!E7*1000</f>
        <v>1870000</v>
      </c>
      <c r="F20" s="195">
        <f>'3товар'!F7*1000</f>
        <v>1870000</v>
      </c>
      <c r="G20" s="48">
        <f>'3товар'!G7*1000</f>
        <v>1870000</v>
      </c>
      <c r="H20" s="48">
        <f>'3товар'!H7*1000</f>
        <v>1870000</v>
      </c>
      <c r="I20" s="195">
        <f>'3товар'!I7*1000</f>
        <v>1870000</v>
      </c>
      <c r="J20" s="48">
        <f>'3товар'!J7*1000</f>
        <v>1870000</v>
      </c>
      <c r="K20" s="48">
        <f>'3товар'!K7*1000</f>
        <v>1870000</v>
      </c>
      <c r="L20" s="48">
        <f>'3товар'!L7*1000</f>
        <v>1870000</v>
      </c>
      <c r="M20" s="48">
        <f>'3товар'!M7*1000</f>
        <v>1870000</v>
      </c>
      <c r="N20" s="48">
        <f>'3товар'!N7*1000</f>
        <v>1870000</v>
      </c>
      <c r="O20" s="48">
        <f>'3товар'!O7*1000</f>
        <v>1870000</v>
      </c>
      <c r="P20" s="48">
        <f>'3товар'!P7*1000</f>
        <v>1870000</v>
      </c>
      <c r="Q20" s="48">
        <f>'3товар'!Q7*1000</f>
        <v>1870000</v>
      </c>
      <c r="R20" s="48">
        <f>'3товар'!R7*1000</f>
        <v>1870000</v>
      </c>
      <c r="S20" s="48">
        <f>'3товар'!S7*1000</f>
        <v>1870000</v>
      </c>
      <c r="T20" s="48">
        <f>'3товар'!T7*1000</f>
        <v>1921000</v>
      </c>
      <c r="U20" s="48">
        <f>'3товар'!U7*1000</f>
        <v>1921000</v>
      </c>
      <c r="V20" s="48">
        <f>'3товар'!V7*1000</f>
        <v>1921000</v>
      </c>
      <c r="W20" s="189">
        <f t="shared" si="1"/>
        <v>39423000</v>
      </c>
      <c r="X20" s="189">
        <f>NPV('1сел'!$X$1,B20:V20)</f>
        <v>31913939.205153566</v>
      </c>
      <c r="Y20" s="190">
        <f>W20/$W$22</f>
        <v>1.0009101013054416</v>
      </c>
    </row>
    <row r="21" spans="1:25" x14ac:dyDescent="0.25">
      <c r="A21" t="s">
        <v>87</v>
      </c>
      <c r="B21" s="215">
        <f>'2сем'!B13</f>
        <v>0</v>
      </c>
      <c r="C21" s="215">
        <f>'2сем'!C13</f>
        <v>0</v>
      </c>
      <c r="D21" s="215">
        <f>'2сем'!D13</f>
        <v>0</v>
      </c>
      <c r="E21" s="215">
        <f>'2сем'!E13</f>
        <v>0</v>
      </c>
      <c r="F21" s="215">
        <f>'2сем'!F13</f>
        <v>0</v>
      </c>
      <c r="G21" s="215">
        <f>'2сем'!G13</f>
        <v>0</v>
      </c>
      <c r="H21" s="215">
        <f>'2сем'!H13</f>
        <v>0</v>
      </c>
      <c r="I21" s="215">
        <f>'2сем'!I13</f>
        <v>0</v>
      </c>
      <c r="J21" s="215">
        <f>'2сем'!J13</f>
        <v>0</v>
      </c>
      <c r="K21" s="215">
        <f>'2сем'!K13</f>
        <v>0</v>
      </c>
      <c r="L21" s="215">
        <f>'2сем'!L13</f>
        <v>0</v>
      </c>
      <c r="M21" s="215">
        <f>'2сем'!M13</f>
        <v>0</v>
      </c>
      <c r="N21" s="254">
        <f>'2сем'!N13</f>
        <v>0</v>
      </c>
      <c r="O21" s="215">
        <f>'2сем'!O13</f>
        <v>0</v>
      </c>
      <c r="P21" s="215">
        <f>'2сем'!P13</f>
        <v>0</v>
      </c>
      <c r="Q21" s="215">
        <f>'2сем'!Q13</f>
        <v>0</v>
      </c>
      <c r="R21" s="215">
        <f>'2сем'!R13</f>
        <v>-800.00000000000011</v>
      </c>
      <c r="S21" s="215">
        <f>'2сем'!S13</f>
        <v>1240</v>
      </c>
      <c r="T21" s="215">
        <f>'2сем'!T13</f>
        <v>0</v>
      </c>
      <c r="U21" s="215">
        <f>'2сем'!U13</f>
        <v>0</v>
      </c>
      <c r="V21" s="215">
        <f>'2сем'!V13</f>
        <v>0</v>
      </c>
      <c r="W21" s="189">
        <f t="shared" si="1"/>
        <v>439.99999999999989</v>
      </c>
      <c r="X21" s="189">
        <f>NPV('1сел'!$X$1,B21:V21)</f>
        <v>296.86757498542408</v>
      </c>
      <c r="Y21" s="190">
        <f>W21/$W$22</f>
        <v>1.1171155025604194E-5</v>
      </c>
    </row>
    <row r="22" spans="1:25" s="192" customFormat="1" ht="12.75" x14ac:dyDescent="0.2">
      <c r="A22" s="192" t="s">
        <v>88</v>
      </c>
      <c r="B22" s="250">
        <f t="shared" ref="B22:V22" si="8">SUM(B19:B21)</f>
        <v>1865603</v>
      </c>
      <c r="C22" s="250">
        <f t="shared" si="8"/>
        <v>1865603</v>
      </c>
      <c r="D22" s="250">
        <f t="shared" si="8"/>
        <v>1865603</v>
      </c>
      <c r="E22" s="250">
        <f t="shared" si="8"/>
        <v>1865603</v>
      </c>
      <c r="F22" s="260">
        <f t="shared" si="8"/>
        <v>1865603</v>
      </c>
      <c r="G22" s="250">
        <f t="shared" si="8"/>
        <v>1865603</v>
      </c>
      <c r="H22" s="250">
        <f t="shared" si="8"/>
        <v>1865603</v>
      </c>
      <c r="I22" s="260">
        <f t="shared" si="8"/>
        <v>1865603</v>
      </c>
      <c r="J22" s="250">
        <f t="shared" si="8"/>
        <v>1865603</v>
      </c>
      <c r="K22" s="250">
        <f t="shared" si="8"/>
        <v>1865603</v>
      </c>
      <c r="L22" s="250">
        <f t="shared" si="8"/>
        <v>1865603</v>
      </c>
      <c r="M22" s="250">
        <f t="shared" si="8"/>
        <v>1865603</v>
      </c>
      <c r="N22" s="260">
        <f t="shared" si="8"/>
        <v>1866512</v>
      </c>
      <c r="O22" s="250">
        <f t="shared" si="8"/>
        <v>1866512</v>
      </c>
      <c r="P22" s="250">
        <f t="shared" si="8"/>
        <v>1869993.7</v>
      </c>
      <c r="Q22" s="250">
        <f t="shared" si="8"/>
        <v>1870000</v>
      </c>
      <c r="R22" s="250">
        <f t="shared" si="8"/>
        <v>1869200</v>
      </c>
      <c r="S22" s="250">
        <f t="shared" si="8"/>
        <v>1869200</v>
      </c>
      <c r="T22" s="250">
        <f t="shared" si="8"/>
        <v>1929500</v>
      </c>
      <c r="U22" s="250">
        <f t="shared" si="8"/>
        <v>1929500</v>
      </c>
      <c r="V22" s="250">
        <f t="shared" si="8"/>
        <v>1929500</v>
      </c>
      <c r="W22" s="277">
        <f t="shared" si="1"/>
        <v>39387153.700000003</v>
      </c>
      <c r="X22" s="189">
        <f>NPV('1сел'!$X$1,B22:V22)</f>
        <v>31878126.497961242</v>
      </c>
      <c r="Y22" s="190">
        <f>W22/$W$22</f>
        <v>1</v>
      </c>
    </row>
    <row r="23" spans="1:25" s="192" customFormat="1" ht="12.75" x14ac:dyDescent="0.2">
      <c r="A23" s="48" t="s">
        <v>335</v>
      </c>
      <c r="B23" s="250"/>
      <c r="C23" s="250"/>
      <c r="D23" s="250"/>
      <c r="E23" s="250"/>
      <c r="F23" s="260"/>
      <c r="G23" s="250"/>
      <c r="H23" s="250"/>
      <c r="I23" s="260"/>
      <c r="J23" s="250"/>
      <c r="K23" s="250"/>
      <c r="L23" s="250"/>
      <c r="M23" s="250"/>
      <c r="N23" s="260"/>
      <c r="O23" s="250"/>
      <c r="P23" s="250"/>
      <c r="Q23" s="250"/>
      <c r="R23" s="250"/>
      <c r="S23" s="250"/>
      <c r="T23" s="250"/>
      <c r="U23" s="250"/>
      <c r="V23" s="250"/>
      <c r="W23" s="189"/>
      <c r="X23" s="189"/>
      <c r="Y23" s="190"/>
    </row>
    <row r="24" spans="1:25" s="192" customFormat="1" ht="12.75" x14ac:dyDescent="0.2">
      <c r="A24" s="192" t="s">
        <v>320</v>
      </c>
      <c r="B24" s="250">
        <f>B19</f>
        <v>-4397</v>
      </c>
      <c r="C24" s="250">
        <f>B24+C19</f>
        <v>-8794</v>
      </c>
      <c r="D24" s="250">
        <f t="shared" ref="D24:V26" si="9">C24+D19</f>
        <v>-13191</v>
      </c>
      <c r="E24" s="250">
        <f t="shared" si="9"/>
        <v>-17588</v>
      </c>
      <c r="F24" s="250">
        <f t="shared" si="9"/>
        <v>-21985</v>
      </c>
      <c r="G24" s="250">
        <f t="shared" si="9"/>
        <v>-26382</v>
      </c>
      <c r="H24" s="250">
        <f t="shared" si="9"/>
        <v>-30779</v>
      </c>
      <c r="I24" s="250">
        <f t="shared" si="9"/>
        <v>-35176</v>
      </c>
      <c r="J24" s="250">
        <f t="shared" si="9"/>
        <v>-39573</v>
      </c>
      <c r="K24" s="250">
        <f t="shared" si="9"/>
        <v>-43970</v>
      </c>
      <c r="L24" s="250">
        <f t="shared" si="9"/>
        <v>-48367</v>
      </c>
      <c r="M24" s="250">
        <f t="shared" si="9"/>
        <v>-52764</v>
      </c>
      <c r="N24" s="250">
        <f t="shared" si="9"/>
        <v>-56252</v>
      </c>
      <c r="O24" s="250">
        <f t="shared" si="9"/>
        <v>-59740</v>
      </c>
      <c r="P24" s="250">
        <f t="shared" si="9"/>
        <v>-59746.3</v>
      </c>
      <c r="Q24" s="250">
        <f t="shared" si="9"/>
        <v>-59746.3</v>
      </c>
      <c r="R24" s="250">
        <f t="shared" si="9"/>
        <v>-59746.3</v>
      </c>
      <c r="S24" s="250">
        <f t="shared" si="9"/>
        <v>-61786.3</v>
      </c>
      <c r="T24" s="250">
        <f t="shared" si="9"/>
        <v>-53286.3</v>
      </c>
      <c r="U24" s="250">
        <f t="shared" si="9"/>
        <v>-44786.3</v>
      </c>
      <c r="V24" s="250">
        <f t="shared" si="9"/>
        <v>-36286.300000000003</v>
      </c>
      <c r="W24" s="189" t="s">
        <v>338</v>
      </c>
      <c r="X24" s="189"/>
      <c r="Y24" s="190"/>
    </row>
    <row r="25" spans="1:25" s="192" customFormat="1" ht="12.75" x14ac:dyDescent="0.2">
      <c r="A25" s="192" t="s">
        <v>336</v>
      </c>
      <c r="B25" s="250">
        <f>B20</f>
        <v>1870000</v>
      </c>
      <c r="C25" s="250">
        <f t="shared" ref="C25:R26" si="10">B25+C20</f>
        <v>3740000</v>
      </c>
      <c r="D25" s="250">
        <f t="shared" si="10"/>
        <v>5610000</v>
      </c>
      <c r="E25" s="250">
        <f t="shared" si="10"/>
        <v>7480000</v>
      </c>
      <c r="F25" s="250">
        <f t="shared" si="10"/>
        <v>9350000</v>
      </c>
      <c r="G25" s="250">
        <f t="shared" si="10"/>
        <v>11220000</v>
      </c>
      <c r="H25" s="250">
        <f t="shared" si="10"/>
        <v>13090000</v>
      </c>
      <c r="I25" s="250">
        <f t="shared" si="10"/>
        <v>14960000</v>
      </c>
      <c r="J25" s="250">
        <f t="shared" si="10"/>
        <v>16830000</v>
      </c>
      <c r="K25" s="250">
        <f t="shared" si="10"/>
        <v>18700000</v>
      </c>
      <c r="L25" s="250">
        <f t="shared" si="10"/>
        <v>20570000</v>
      </c>
      <c r="M25" s="250">
        <f t="shared" si="10"/>
        <v>22440000</v>
      </c>
      <c r="N25" s="250">
        <f t="shared" si="10"/>
        <v>24310000</v>
      </c>
      <c r="O25" s="250">
        <f t="shared" si="10"/>
        <v>26180000</v>
      </c>
      <c r="P25" s="250">
        <f t="shared" si="10"/>
        <v>28050000</v>
      </c>
      <c r="Q25" s="250">
        <f t="shared" si="10"/>
        <v>29920000</v>
      </c>
      <c r="R25" s="250">
        <f t="shared" si="10"/>
        <v>31790000</v>
      </c>
      <c r="S25" s="250">
        <f t="shared" si="9"/>
        <v>33660000</v>
      </c>
      <c r="T25" s="250">
        <f t="shared" si="9"/>
        <v>35581000</v>
      </c>
      <c r="U25" s="250">
        <f t="shared" si="9"/>
        <v>37502000</v>
      </c>
      <c r="V25" s="250">
        <f t="shared" si="9"/>
        <v>39423000</v>
      </c>
      <c r="W25" s="189"/>
      <c r="X25" s="189"/>
      <c r="Y25" s="190"/>
    </row>
    <row r="26" spans="1:25" s="192" customFormat="1" ht="12.75" x14ac:dyDescent="0.2">
      <c r="A26" s="192" t="s">
        <v>322</v>
      </c>
      <c r="B26" s="250">
        <f>B21</f>
        <v>0</v>
      </c>
      <c r="C26" s="250">
        <f t="shared" si="10"/>
        <v>0</v>
      </c>
      <c r="D26" s="250">
        <f t="shared" si="9"/>
        <v>0</v>
      </c>
      <c r="E26" s="250">
        <f t="shared" si="9"/>
        <v>0</v>
      </c>
      <c r="F26" s="250">
        <f t="shared" si="9"/>
        <v>0</v>
      </c>
      <c r="G26" s="250">
        <f t="shared" si="9"/>
        <v>0</v>
      </c>
      <c r="H26" s="250">
        <f t="shared" si="9"/>
        <v>0</v>
      </c>
      <c r="I26" s="250">
        <f t="shared" si="9"/>
        <v>0</v>
      </c>
      <c r="J26" s="250">
        <f t="shared" si="9"/>
        <v>0</v>
      </c>
      <c r="K26" s="250">
        <f t="shared" si="9"/>
        <v>0</v>
      </c>
      <c r="L26" s="250">
        <f t="shared" si="9"/>
        <v>0</v>
      </c>
      <c r="M26" s="250">
        <f t="shared" si="9"/>
        <v>0</v>
      </c>
      <c r="N26" s="250">
        <f t="shared" si="9"/>
        <v>0</v>
      </c>
      <c r="O26" s="250">
        <f t="shared" si="9"/>
        <v>0</v>
      </c>
      <c r="P26" s="250">
        <f t="shared" si="9"/>
        <v>0</v>
      </c>
      <c r="Q26" s="250">
        <f t="shared" si="9"/>
        <v>0</v>
      </c>
      <c r="R26" s="250">
        <f t="shared" si="9"/>
        <v>-800.00000000000011</v>
      </c>
      <c r="S26" s="250">
        <f t="shared" si="9"/>
        <v>439.99999999999989</v>
      </c>
      <c r="T26" s="250">
        <f t="shared" si="9"/>
        <v>439.99999999999989</v>
      </c>
      <c r="U26" s="250">
        <f t="shared" si="9"/>
        <v>439.99999999999989</v>
      </c>
      <c r="V26" s="250">
        <f t="shared" si="9"/>
        <v>439.99999999999989</v>
      </c>
      <c r="W26" s="189"/>
      <c r="X26" s="189"/>
      <c r="Y26" s="190"/>
    </row>
    <row r="27" spans="1:25" s="192" customFormat="1" ht="12.75" x14ac:dyDescent="0.2">
      <c r="A27" s="192" t="s">
        <v>337</v>
      </c>
      <c r="B27" s="250">
        <f>SUM(B24:B26)</f>
        <v>1865603</v>
      </c>
      <c r="C27" s="250">
        <f>B27+SUM(C19:C21)</f>
        <v>3731206</v>
      </c>
      <c r="D27" s="250">
        <f t="shared" ref="D27:S27" si="11">C27+SUM(D19:D21)</f>
        <v>5596809</v>
      </c>
      <c r="E27" s="250">
        <f t="shared" si="11"/>
        <v>7462412</v>
      </c>
      <c r="F27" s="250">
        <f t="shared" si="11"/>
        <v>9328015</v>
      </c>
      <c r="G27" s="250">
        <f t="shared" si="11"/>
        <v>11193618</v>
      </c>
      <c r="H27" s="250">
        <f t="shared" si="11"/>
        <v>13059221</v>
      </c>
      <c r="I27" s="250">
        <f t="shared" si="11"/>
        <v>14924824</v>
      </c>
      <c r="J27" s="250">
        <f t="shared" si="11"/>
        <v>16790427</v>
      </c>
      <c r="K27" s="250">
        <f t="shared" si="11"/>
        <v>18656030</v>
      </c>
      <c r="L27" s="250">
        <f t="shared" si="11"/>
        <v>20521633</v>
      </c>
      <c r="M27" s="250">
        <f t="shared" si="11"/>
        <v>22387236</v>
      </c>
      <c r="N27" s="250">
        <f t="shared" si="11"/>
        <v>24253748</v>
      </c>
      <c r="O27" s="250">
        <f t="shared" si="11"/>
        <v>26120260</v>
      </c>
      <c r="P27" s="250">
        <f t="shared" si="11"/>
        <v>27990253.699999999</v>
      </c>
      <c r="Q27" s="250">
        <f t="shared" si="11"/>
        <v>29860253.699999999</v>
      </c>
      <c r="R27" s="250">
        <f t="shared" si="11"/>
        <v>31729453.699999999</v>
      </c>
      <c r="S27" s="250">
        <f t="shared" si="11"/>
        <v>33598653.700000003</v>
      </c>
      <c r="T27" s="250">
        <f>S27+SUM(T19:T21)</f>
        <v>35528153.700000003</v>
      </c>
      <c r="U27" s="250">
        <f>T27+SUM(U19:U21)</f>
        <v>37457653.700000003</v>
      </c>
      <c r="V27" s="250">
        <f>U27+SUM(V19:V21)</f>
        <v>39387153.700000003</v>
      </c>
      <c r="W27" s="189"/>
      <c r="X27" s="189"/>
      <c r="Y27" s="190"/>
    </row>
    <row r="28" spans="1:25" s="192" customFormat="1" ht="12.75" x14ac:dyDescent="0.2">
      <c r="A28" s="192" t="s">
        <v>340</v>
      </c>
      <c r="B28" s="250"/>
      <c r="C28" s="250"/>
      <c r="D28" s="250"/>
      <c r="E28" s="250"/>
      <c r="F28" s="260"/>
      <c r="G28" s="250"/>
      <c r="H28" s="250"/>
      <c r="I28" s="260"/>
      <c r="J28" s="250"/>
      <c r="K28" s="250"/>
      <c r="L28" s="250"/>
      <c r="M28" s="250"/>
      <c r="N28" s="260"/>
      <c r="O28" s="250"/>
      <c r="P28" s="250"/>
      <c r="Q28" s="250"/>
      <c r="R28" s="250"/>
      <c r="S28" s="250"/>
      <c r="T28" s="250"/>
      <c r="U28" s="250"/>
      <c r="V28" s="250"/>
      <c r="W28" s="189"/>
      <c r="X28" s="189"/>
      <c r="Y28" s="190"/>
    </row>
    <row r="29" spans="1:25" s="192" customFormat="1" ht="12.75" x14ac:dyDescent="0.2">
      <c r="B29" s="250"/>
      <c r="C29" s="250"/>
      <c r="D29" s="250"/>
      <c r="E29" s="250"/>
      <c r="F29" s="260"/>
      <c r="G29" s="250"/>
      <c r="H29" s="250"/>
      <c r="I29" s="260"/>
      <c r="J29" s="250"/>
      <c r="K29" s="250"/>
      <c r="L29" s="250"/>
      <c r="M29" s="250"/>
      <c r="N29" s="260"/>
      <c r="O29" s="250"/>
      <c r="P29" s="250"/>
      <c r="Q29" s="250"/>
      <c r="R29" s="250"/>
      <c r="S29" s="250"/>
      <c r="T29" s="250"/>
      <c r="U29" s="250"/>
      <c r="V29" s="250"/>
      <c r="W29" s="189"/>
      <c r="X29" s="189"/>
      <c r="Y29" s="190"/>
    </row>
    <row r="30" spans="1:25" s="192" customFormat="1" ht="12.75" x14ac:dyDescent="0.2">
      <c r="B30" s="250"/>
      <c r="C30" s="250"/>
      <c r="D30" s="250"/>
      <c r="E30" s="250"/>
      <c r="F30" s="260"/>
      <c r="G30" s="250"/>
      <c r="H30" s="250"/>
      <c r="I30" s="260"/>
      <c r="J30" s="250"/>
      <c r="K30" s="250"/>
      <c r="L30" s="250"/>
      <c r="M30" s="250"/>
      <c r="N30" s="260"/>
      <c r="O30" s="250"/>
      <c r="P30" s="250"/>
      <c r="Q30" s="250"/>
      <c r="R30" s="250"/>
      <c r="S30" s="250"/>
      <c r="T30" s="250"/>
      <c r="U30" s="250"/>
      <c r="V30" s="250"/>
      <c r="W30" s="189"/>
      <c r="X30" s="189"/>
      <c r="Y30" s="190"/>
    </row>
    <row r="31" spans="1:25" ht="18.75" x14ac:dyDescent="0.3">
      <c r="A31" s="262" t="s">
        <v>339</v>
      </c>
      <c r="B31" s="262"/>
      <c r="C31" s="262"/>
      <c r="W31" s="189"/>
      <c r="X31" s="189"/>
    </row>
    <row r="32" spans="1:25" x14ac:dyDescent="0.25">
      <c r="A32" s="244" t="s">
        <v>259</v>
      </c>
      <c r="B32" s="261">
        <f>('1сел'!B22+'1сел'!B23+'1сел'!B24+'1сел'!B25+'1сел'!B26+'1сел'!B29)*$J$1</f>
        <v>451960.79281758534</v>
      </c>
      <c r="C32" s="261">
        <f>('1сел'!C22+'1сел'!C23+'1сел'!C24+'1сел'!C25+'1сел'!C26+'1сел'!C29)*$J$1</f>
        <v>115701.96296130185</v>
      </c>
      <c r="D32" s="261">
        <f>('1сел'!D22+'1сел'!D23+'1сел'!D24+'1сел'!D25+'1сел'!D26+'1сел'!D29)*$J$1</f>
        <v>165605.96716824357</v>
      </c>
      <c r="E32" s="261">
        <f>('1сел'!E22+'1сел'!E23+'1сел'!E24+'1сел'!E25+'1сел'!E26+'1сел'!E29)*$J$1</f>
        <v>165605.96716824357</v>
      </c>
      <c r="F32" s="261">
        <f>('1сел'!F22+'1сел'!F23+'1сел'!F24+'1сел'!F25+'1сел'!F26+'1сел'!F29)*$J$1</f>
        <v>2109.1503664820652</v>
      </c>
      <c r="G32" s="261">
        <f>('1сел'!G22+'1сел'!G23+'1сел'!G24+'1сел'!G25+'1сел'!G26+'1сел'!G29)*$J$1</f>
        <v>237.27941622923231</v>
      </c>
      <c r="H32" s="261">
        <f>('1сел'!H22+'1сел'!H23+'1сел'!H24+'1сел'!H25+'1сел'!H26+'1сел'!H29)*$J$1</f>
        <v>0</v>
      </c>
      <c r="I32" s="261">
        <f>('1сел'!I22+'1сел'!I23+'1сел'!I24+'1сел'!I25+'1сел'!I26+'1сел'!I29)*$J$1</f>
        <v>0</v>
      </c>
      <c r="J32" s="261">
        <f>('1сел'!J22+'1сел'!J23+'1сел'!J24+'1сел'!J25+'1сел'!J26+'1сел'!J29)*$J$1</f>
        <v>76833.33477898952</v>
      </c>
      <c r="K32" s="261">
        <f>('1сел'!K22+'1сел'!K23+'1сел'!K24+'1сел'!K25+'1сел'!K26+'1сел'!K29)*$J$1</f>
        <v>0</v>
      </c>
      <c r="L32" s="261">
        <f>('1сел'!L22+'1сел'!L23+'1сел'!L24+'1сел'!L25+'1сел'!L26+'1сел'!L29)*$J$1</f>
        <v>0</v>
      </c>
      <c r="M32" s="261">
        <f>('1сел'!M22+'1сел'!M23+'1сел'!M24+'1сел'!M25+'1сел'!M26+'1сел'!M29)*$J$1</f>
        <v>76833.33477898952</v>
      </c>
      <c r="N32" s="261">
        <f>('1сел'!N22+'1сел'!N23+'1сел'!N24+'1сел'!N25+'1сел'!N26+'1сел'!N29)*$J$1</f>
        <v>0</v>
      </c>
      <c r="O32" s="261">
        <f>('1сел'!O22+'1сел'!O23+'1сел'!O24+'1сел'!O25+'1сел'!O26+'1сел'!O29)*$J$1</f>
        <v>0</v>
      </c>
      <c r="P32" s="261">
        <f>('1сел'!P22+'1сел'!P23+'1сел'!P24+'1сел'!P25+'1сел'!P26+'1сел'!P29)*$J$1</f>
        <v>76833.33477898952</v>
      </c>
      <c r="Q32" s="261">
        <f>('1сел'!Q22+'1сел'!Q23+'1сел'!Q24+'1сел'!Q25+'1сел'!Q26+'1сел'!Q29)*$J$1</f>
        <v>0</v>
      </c>
      <c r="R32" s="261">
        <f>('1сел'!R22+'1сел'!R23+'1сел'!R24+'1сел'!R25+'1сел'!R26+'1сел'!R29)*$J$1</f>
        <v>0</v>
      </c>
      <c r="S32" s="261">
        <f>('1сел'!S22+'1сел'!S23+'1сел'!S24+'1сел'!S25+'1сел'!S26+'1сел'!S29)*$J$1</f>
        <v>76833.33477898952</v>
      </c>
      <c r="T32" s="261">
        <f>('1сел'!T22+'1сел'!T23+'1сел'!T24+'1сел'!T25+'1сел'!T26+'1сел'!T29)*$J$1</f>
        <v>0</v>
      </c>
      <c r="U32" s="261">
        <f>('1сел'!U22+'1сел'!U23+'1сел'!U24+'1сел'!U25+'1сел'!U26+'1сел'!U29)*$J$1</f>
        <v>0</v>
      </c>
      <c r="V32" s="261">
        <f>('1сел'!V22+'1сел'!V23+'1сел'!V24+'1сел'!V25+'1сел'!V26+'1сел'!V29)*$J$1</f>
        <v>0</v>
      </c>
      <c r="W32" s="189">
        <f t="shared" ref="W32:W46" si="12">SUM(B32:V32)</f>
        <v>1208554.4590140437</v>
      </c>
      <c r="X32" s="189">
        <f>NPV('1сел'!$X$1,B32:V32)</f>
        <v>1101234.6046544458</v>
      </c>
    </row>
    <row r="33" spans="1:25" x14ac:dyDescent="0.25">
      <c r="A33" s="244" t="s">
        <v>261</v>
      </c>
      <c r="B33" s="58">
        <f>('3товар'!B15+'3товар'!B16)*1000</f>
        <v>935000</v>
      </c>
      <c r="C33" s="58">
        <f>('3товар'!C15+'3товар'!C16)*1000</f>
        <v>935000</v>
      </c>
      <c r="D33" s="58">
        <f>('3товар'!D15+'3товар'!D16)*1000</f>
        <v>935000</v>
      </c>
      <c r="E33" s="58">
        <f>('3товар'!E15+'3товар'!E16)*1000</f>
        <v>935000</v>
      </c>
      <c r="F33" s="58">
        <f>('3товар'!F15+'3товар'!F16)*1000</f>
        <v>935000</v>
      </c>
      <c r="G33" s="58">
        <f>('3товар'!G15+'3товар'!G16)*1000</f>
        <v>935000</v>
      </c>
      <c r="H33" s="58">
        <f>('3товар'!H15+'3товар'!H16)*1000</f>
        <v>935000</v>
      </c>
      <c r="I33" s="58">
        <f>('3товар'!I15+'3товар'!I16)*1000</f>
        <v>935000</v>
      </c>
      <c r="J33" s="58">
        <f>('3товар'!J15+'3товар'!J16)*1000</f>
        <v>935000</v>
      </c>
      <c r="K33" s="58">
        <f>('3товар'!K15+'3товар'!K16)*1000</f>
        <v>884000</v>
      </c>
      <c r="L33" s="58">
        <f>('3товар'!L15+'3товар'!L16)*1000</f>
        <v>884000</v>
      </c>
      <c r="M33" s="58">
        <f>('3товар'!M15+'3товар'!M16)*1000</f>
        <v>884000</v>
      </c>
      <c r="N33" s="58">
        <f>('3товар'!N15+'3товар'!N16)*1000</f>
        <v>884000</v>
      </c>
      <c r="O33" s="58">
        <f>('3товар'!O15+'3товар'!O16)*1000</f>
        <v>884000</v>
      </c>
      <c r="P33" s="58">
        <f>('3товар'!P15+'3товар'!P16)*1000</f>
        <v>884000</v>
      </c>
      <c r="Q33" s="58">
        <f>('3товар'!Q15+'3товар'!Q16)*1000</f>
        <v>884000</v>
      </c>
      <c r="R33" s="58">
        <f>('3товар'!R15+'3товар'!R16)*1000</f>
        <v>884000</v>
      </c>
      <c r="S33" s="58">
        <f>('3товар'!S15+'3товар'!S16)*1000</f>
        <v>884000</v>
      </c>
      <c r="T33" s="58">
        <f>('3товар'!T15+'3товар'!T16)*1000</f>
        <v>884000</v>
      </c>
      <c r="U33" s="58">
        <f>('3товар'!U15+'3товар'!U16)*1000</f>
        <v>884000</v>
      </c>
      <c r="V33" s="58">
        <f>('3товар'!V15+'3товар'!V16)*1000</f>
        <v>884000</v>
      </c>
      <c r="W33" s="189">
        <f t="shared" si="12"/>
        <v>19023000</v>
      </c>
      <c r="X33" s="189">
        <f>NPV('1сел'!$X$1,B33:V33)</f>
        <v>15454182.970675552</v>
      </c>
    </row>
    <row r="34" spans="1:25" s="147" customFormat="1" x14ac:dyDescent="0.25">
      <c r="A34" s="268" t="s">
        <v>260</v>
      </c>
      <c r="B34" s="269">
        <f>'2сем'!B29</f>
        <v>0</v>
      </c>
      <c r="C34" s="269">
        <f>'2сем'!C29</f>
        <v>0</v>
      </c>
      <c r="D34" s="269">
        <f>'2сем'!D29</f>
        <v>0</v>
      </c>
      <c r="E34" s="269">
        <f>'2сем'!E29</f>
        <v>0</v>
      </c>
      <c r="F34" s="269">
        <f>'2сем'!F29</f>
        <v>0</v>
      </c>
      <c r="G34" s="269">
        <f>'2сем'!G29</f>
        <v>0</v>
      </c>
      <c r="H34" s="269">
        <f>'2сем'!H29</f>
        <v>0</v>
      </c>
      <c r="I34" s="269">
        <f>'2сем'!I29</f>
        <v>800.00000000000011</v>
      </c>
      <c r="J34" s="269">
        <f>'2сем'!J29</f>
        <v>800.00000000000011</v>
      </c>
      <c r="K34" s="269">
        <f>'2сем'!K29</f>
        <v>0</v>
      </c>
      <c r="L34" s="269">
        <f>'2сем'!L29</f>
        <v>800.00000000000011</v>
      </c>
      <c r="M34" s="269">
        <f>'2сем'!M29</f>
        <v>800.00000000000011</v>
      </c>
      <c r="N34" s="269">
        <f>'2сем'!N29</f>
        <v>0</v>
      </c>
      <c r="O34" s="269">
        <f>'2сем'!O29</f>
        <v>800.00000000000011</v>
      </c>
      <c r="P34" s="269">
        <f>'2сем'!P29</f>
        <v>800.00000000000011</v>
      </c>
      <c r="Q34" s="269">
        <f>'2сем'!Q29</f>
        <v>0</v>
      </c>
      <c r="R34" s="269">
        <f>'2сем'!R29</f>
        <v>800.00000000000011</v>
      </c>
      <c r="S34" s="269">
        <f>'2сем'!S29</f>
        <v>800.00000000000011</v>
      </c>
      <c r="T34" s="269">
        <f>'2сем'!T29</f>
        <v>0</v>
      </c>
      <c r="U34" s="269">
        <f>'2сем'!U29</f>
        <v>0</v>
      </c>
      <c r="V34" s="269">
        <f>'2сем'!V29</f>
        <v>0</v>
      </c>
      <c r="W34" s="270">
        <f t="shared" si="12"/>
        <v>6400.0000000000009</v>
      </c>
      <c r="X34" s="270">
        <f>NPV('1сел'!$X$1,B34:V34)</f>
        <v>4958.5708349960669</v>
      </c>
      <c r="Y34" s="145"/>
    </row>
    <row r="35" spans="1:25" x14ac:dyDescent="0.25">
      <c r="A35" s="40" t="s">
        <v>263</v>
      </c>
      <c r="B35" s="40">
        <f>SUM(B32:B34)</f>
        <v>1386960.7928175854</v>
      </c>
      <c r="C35" s="40">
        <f t="shared" ref="C35:V35" si="13">SUM(C32:C34)</f>
        <v>1050701.9629613019</v>
      </c>
      <c r="D35" s="40">
        <f t="shared" si="13"/>
        <v>1100605.9671682436</v>
      </c>
      <c r="E35" s="40">
        <f t="shared" si="13"/>
        <v>1100605.9671682436</v>
      </c>
      <c r="F35" s="40">
        <f t="shared" si="13"/>
        <v>937109.15036648209</v>
      </c>
      <c r="G35" s="40">
        <f t="shared" si="13"/>
        <v>935237.27941622923</v>
      </c>
      <c r="H35" s="40">
        <f t="shared" si="13"/>
        <v>935000</v>
      </c>
      <c r="I35" s="40">
        <f t="shared" si="13"/>
        <v>935800</v>
      </c>
      <c r="J35" s="40">
        <f t="shared" si="13"/>
        <v>1012633.3347789895</v>
      </c>
      <c r="K35" s="40">
        <f t="shared" si="13"/>
        <v>884000</v>
      </c>
      <c r="L35" s="40">
        <f t="shared" si="13"/>
        <v>884800</v>
      </c>
      <c r="M35" s="40">
        <f t="shared" si="13"/>
        <v>961633.33477898955</v>
      </c>
      <c r="N35" s="40">
        <f t="shared" si="13"/>
        <v>884000</v>
      </c>
      <c r="O35" s="40">
        <f t="shared" si="13"/>
        <v>884800</v>
      </c>
      <c r="P35" s="40">
        <f t="shared" si="13"/>
        <v>961633.33477898955</v>
      </c>
      <c r="Q35" s="40">
        <f t="shared" si="13"/>
        <v>884000</v>
      </c>
      <c r="R35" s="40">
        <f t="shared" si="13"/>
        <v>884800</v>
      </c>
      <c r="S35" s="40">
        <f t="shared" si="13"/>
        <v>961633.33477898955</v>
      </c>
      <c r="T35" s="40">
        <f t="shared" si="13"/>
        <v>884000</v>
      </c>
      <c r="U35" s="40">
        <f t="shared" si="13"/>
        <v>884000</v>
      </c>
      <c r="V35" s="40">
        <f t="shared" si="13"/>
        <v>884000</v>
      </c>
      <c r="W35" s="189">
        <f t="shared" si="12"/>
        <v>20237954.459014043</v>
      </c>
      <c r="X35" s="189">
        <f>NPV('1сел'!$X$1,B35:V35)</f>
        <v>16560376.146164993</v>
      </c>
    </row>
    <row r="36" spans="1:25" x14ac:dyDescent="0.25">
      <c r="A36" s="201" t="s">
        <v>341</v>
      </c>
      <c r="W36" s="189">
        <f t="shared" si="12"/>
        <v>0</v>
      </c>
      <c r="X36" s="189">
        <f>NPV('1сел'!$X$1,B36:V36)</f>
        <v>0</v>
      </c>
    </row>
    <row r="37" spans="1:25" x14ac:dyDescent="0.25">
      <c r="A37" s="191" t="s">
        <v>265</v>
      </c>
      <c r="B37" s="215">
        <f>'1сел'!B30</f>
        <v>0</v>
      </c>
      <c r="C37" s="215">
        <f>'1сел'!C30</f>
        <v>0</v>
      </c>
      <c r="D37" s="215">
        <f>'1сел'!D30</f>
        <v>0</v>
      </c>
      <c r="E37" s="215">
        <f>'1сел'!E30</f>
        <v>0</v>
      </c>
      <c r="F37" s="215">
        <f>'1сел'!F30</f>
        <v>0</v>
      </c>
      <c r="G37" s="215">
        <f>'1сел'!G30</f>
        <v>0</v>
      </c>
      <c r="H37" s="215">
        <f>'1сел'!H30</f>
        <v>0</v>
      </c>
      <c r="I37" s="215">
        <f>'1сел'!I30</f>
        <v>0</v>
      </c>
      <c r="J37" s="215">
        <f>'1сел'!J30</f>
        <v>0</v>
      </c>
      <c r="K37" s="215">
        <f>'1сел'!K30</f>
        <v>8500</v>
      </c>
      <c r="L37" s="215">
        <f>'1сел'!L30</f>
        <v>8500</v>
      </c>
      <c r="M37" s="215">
        <f>'1сел'!M30</f>
        <v>8500</v>
      </c>
      <c r="N37" s="215">
        <f>'1сел'!N30</f>
        <v>8500</v>
      </c>
      <c r="O37" s="215">
        <f>'1сел'!O30</f>
        <v>8500</v>
      </c>
      <c r="P37" s="215">
        <f>'1сел'!P30</f>
        <v>8500</v>
      </c>
      <c r="Q37" s="215">
        <f>'1сел'!Q30</f>
        <v>8500</v>
      </c>
      <c r="R37" s="215">
        <f>'1сел'!R30</f>
        <v>8500</v>
      </c>
      <c r="S37" s="215">
        <f>'1сел'!S30</f>
        <v>8500</v>
      </c>
      <c r="T37" s="215">
        <f>'1сел'!T30</f>
        <v>8500</v>
      </c>
      <c r="U37" s="215">
        <f>'1сел'!U30</f>
        <v>8500</v>
      </c>
      <c r="V37" s="215">
        <f>'1сел'!V30</f>
        <v>8500</v>
      </c>
      <c r="W37" s="189">
        <f t="shared" si="12"/>
        <v>102000</v>
      </c>
      <c r="X37" s="189">
        <f>NPV('1сел'!$X$1,B37:V37)</f>
        <v>75216.265867522423</v>
      </c>
    </row>
    <row r="38" spans="1:25" x14ac:dyDescent="0.25">
      <c r="A38" s="191" t="s">
        <v>267</v>
      </c>
      <c r="B38" s="245">
        <f>'3товар'!B17*1000</f>
        <v>2805000</v>
      </c>
      <c r="C38" s="245">
        <f>'3товар'!C17*1000</f>
        <v>2805000</v>
      </c>
      <c r="D38" s="245">
        <f>'3товар'!D17*1000</f>
        <v>2805000</v>
      </c>
      <c r="E38" s="245">
        <f>'3товар'!E17*1000</f>
        <v>2805000</v>
      </c>
      <c r="F38" s="245">
        <f>'3товар'!F17*1000</f>
        <v>2805000</v>
      </c>
      <c r="G38" s="245">
        <f>'3товар'!G17*1000</f>
        <v>2805000</v>
      </c>
      <c r="H38" s="245">
        <f>'3товар'!H17*1000</f>
        <v>2805000</v>
      </c>
      <c r="I38" s="245">
        <f>'3товар'!I17*1000</f>
        <v>2805000</v>
      </c>
      <c r="J38" s="245">
        <f>'3товар'!J17*1000</f>
        <v>2805000</v>
      </c>
      <c r="K38" s="245">
        <f>'3товар'!K17*1000</f>
        <v>2805000</v>
      </c>
      <c r="L38" s="245">
        <f>'3товар'!L17*1000</f>
        <v>2805000</v>
      </c>
      <c r="M38" s="245">
        <f>'3товар'!M17*1000</f>
        <v>2805000</v>
      </c>
      <c r="N38" s="245">
        <f>'3товар'!N17*1000</f>
        <v>2805000</v>
      </c>
      <c r="O38" s="245">
        <f>'3товар'!O17*1000</f>
        <v>2805000</v>
      </c>
      <c r="P38" s="245">
        <f>'3товар'!P17*1000</f>
        <v>2805000</v>
      </c>
      <c r="Q38" s="245">
        <f>'3товар'!Q17*1000</f>
        <v>2805000</v>
      </c>
      <c r="R38" s="245">
        <f>'3товар'!R17*1000</f>
        <v>2805000</v>
      </c>
      <c r="S38" s="245">
        <f>'3товар'!S17*1000</f>
        <v>2805000</v>
      </c>
      <c r="T38" s="245">
        <f>'3товар'!T17*1000</f>
        <v>2805000</v>
      </c>
      <c r="U38" s="245">
        <f>'3товар'!U17*1000</f>
        <v>2805000</v>
      </c>
      <c r="V38" s="245">
        <f>'3товар'!V17*1000</f>
        <v>2805000</v>
      </c>
      <c r="W38" s="189">
        <f t="shared" si="12"/>
        <v>58905000</v>
      </c>
      <c r="X38" s="189">
        <f>NPV('1сел'!$X$1,B38:V38)</f>
        <v>47716441.697642058</v>
      </c>
    </row>
    <row r="39" spans="1:25" s="145" customFormat="1" x14ac:dyDescent="0.25">
      <c r="A39" s="267" t="s">
        <v>266</v>
      </c>
      <c r="B39" s="271">
        <f>'2сем'!B30</f>
        <v>0</v>
      </c>
      <c r="C39" s="271">
        <f>'2сем'!C30</f>
        <v>0</v>
      </c>
      <c r="D39" s="271">
        <f>'2сем'!D30</f>
        <v>0</v>
      </c>
      <c r="E39" s="271">
        <f>'2сем'!E30</f>
        <v>0</v>
      </c>
      <c r="F39" s="271">
        <f>'2сем'!F30</f>
        <v>0</v>
      </c>
      <c r="G39" s="271">
        <f>'2сем'!G30</f>
        <v>0</v>
      </c>
      <c r="H39" s="271">
        <f>'2сем'!H30</f>
        <v>0</v>
      </c>
      <c r="I39" s="271">
        <f>'2сем'!I30</f>
        <v>0</v>
      </c>
      <c r="J39" s="271">
        <f>'2сем'!J30</f>
        <v>2040</v>
      </c>
      <c r="K39" s="271">
        <f>'2сем'!K30</f>
        <v>0</v>
      </c>
      <c r="L39" s="271">
        <f>'2сем'!L30</f>
        <v>0</v>
      </c>
      <c r="M39" s="271">
        <f>'2сем'!M30</f>
        <v>2040</v>
      </c>
      <c r="N39" s="271">
        <f>'2сем'!N30</f>
        <v>0</v>
      </c>
      <c r="O39" s="271">
        <f>'2сем'!O30</f>
        <v>0</v>
      </c>
      <c r="P39" s="271">
        <f>'2сем'!P30</f>
        <v>2040</v>
      </c>
      <c r="Q39" s="271">
        <f>'2сем'!Q30</f>
        <v>0</v>
      </c>
      <c r="R39" s="271">
        <f>'2сем'!R30</f>
        <v>0</v>
      </c>
      <c r="S39" s="271">
        <f>'2сем'!S30</f>
        <v>2040</v>
      </c>
      <c r="T39" s="271">
        <f>'2сем'!T30</f>
        <v>0</v>
      </c>
      <c r="U39" s="271">
        <f>'2сем'!U30</f>
        <v>0</v>
      </c>
      <c r="V39" s="271">
        <f>'2сем'!V30</f>
        <v>0</v>
      </c>
      <c r="W39" s="270">
        <f t="shared" si="12"/>
        <v>8160</v>
      </c>
      <c r="X39" s="270">
        <f>NPV('1сел'!$X$1,B39:V39)</f>
        <v>6259.5819946732508</v>
      </c>
    </row>
    <row r="40" spans="1:25" x14ac:dyDescent="0.25">
      <c r="A40" s="194" t="s">
        <v>263</v>
      </c>
      <c r="B40" s="194">
        <f>SUM(B37:B39)</f>
        <v>2805000</v>
      </c>
      <c r="C40" s="194">
        <f t="shared" ref="C40:V40" si="14">SUM(C37:C39)</f>
        <v>2805000</v>
      </c>
      <c r="D40" s="194">
        <f t="shared" si="14"/>
        <v>2805000</v>
      </c>
      <c r="E40" s="194">
        <f t="shared" si="14"/>
        <v>2805000</v>
      </c>
      <c r="F40" s="194">
        <f t="shared" si="14"/>
        <v>2805000</v>
      </c>
      <c r="G40" s="194">
        <f t="shared" si="14"/>
        <v>2805000</v>
      </c>
      <c r="H40" s="194">
        <f t="shared" si="14"/>
        <v>2805000</v>
      </c>
      <c r="I40" s="194">
        <f t="shared" si="14"/>
        <v>2805000</v>
      </c>
      <c r="J40" s="194">
        <f t="shared" si="14"/>
        <v>2807040</v>
      </c>
      <c r="K40" s="194">
        <f t="shared" si="14"/>
        <v>2813500</v>
      </c>
      <c r="L40" s="194">
        <f t="shared" si="14"/>
        <v>2813500</v>
      </c>
      <c r="M40" s="194">
        <f t="shared" si="14"/>
        <v>2815540</v>
      </c>
      <c r="N40" s="194">
        <f t="shared" si="14"/>
        <v>2813500</v>
      </c>
      <c r="O40" s="194">
        <f t="shared" si="14"/>
        <v>2813500</v>
      </c>
      <c r="P40" s="194">
        <f t="shared" si="14"/>
        <v>2815540</v>
      </c>
      <c r="Q40" s="194">
        <f t="shared" si="14"/>
        <v>2813500</v>
      </c>
      <c r="R40" s="194">
        <f t="shared" si="14"/>
        <v>2813500</v>
      </c>
      <c r="S40" s="194">
        <f t="shared" si="14"/>
        <v>2815540</v>
      </c>
      <c r="T40" s="194">
        <f t="shared" si="14"/>
        <v>2813500</v>
      </c>
      <c r="U40" s="194">
        <f t="shared" si="14"/>
        <v>2813500</v>
      </c>
      <c r="V40" s="194">
        <f t="shared" si="14"/>
        <v>2813500</v>
      </c>
      <c r="W40" s="189">
        <f t="shared" si="12"/>
        <v>59015160</v>
      </c>
      <c r="X40" s="189">
        <f>NPV('1сел'!$X$1,B40:V40)</f>
        <v>47797917.545504265</v>
      </c>
    </row>
    <row r="41" spans="1:25" x14ac:dyDescent="0.25">
      <c r="A41" s="48" t="s">
        <v>268</v>
      </c>
      <c r="B41" s="37">
        <f>B37-B32</f>
        <v>-451960.79281758534</v>
      </c>
      <c r="C41" s="37">
        <f t="shared" ref="C41:V43" si="15">C37-C32</f>
        <v>-115701.96296130185</v>
      </c>
      <c r="D41" s="37">
        <f t="shared" si="15"/>
        <v>-165605.96716824357</v>
      </c>
      <c r="E41" s="37">
        <f t="shared" si="15"/>
        <v>-165605.96716824357</v>
      </c>
      <c r="F41" s="37">
        <f t="shared" si="15"/>
        <v>-2109.1503664820652</v>
      </c>
      <c r="G41" s="37">
        <f t="shared" si="15"/>
        <v>-237.27941622923231</v>
      </c>
      <c r="H41" s="37">
        <f t="shared" si="15"/>
        <v>0</v>
      </c>
      <c r="I41" s="37">
        <f t="shared" si="15"/>
        <v>0</v>
      </c>
      <c r="J41" s="37">
        <f t="shared" si="15"/>
        <v>-76833.33477898952</v>
      </c>
      <c r="K41" s="37">
        <f t="shared" si="15"/>
        <v>8500</v>
      </c>
      <c r="L41" s="37">
        <f t="shared" si="15"/>
        <v>8500</v>
      </c>
      <c r="M41" s="37">
        <f t="shared" si="15"/>
        <v>-68333.33477898952</v>
      </c>
      <c r="N41" s="37">
        <f t="shared" si="15"/>
        <v>8500</v>
      </c>
      <c r="O41" s="37">
        <f t="shared" si="15"/>
        <v>8500</v>
      </c>
      <c r="P41" s="37">
        <f t="shared" si="15"/>
        <v>-68333.33477898952</v>
      </c>
      <c r="Q41" s="37">
        <f t="shared" si="15"/>
        <v>8500</v>
      </c>
      <c r="R41" s="37">
        <f t="shared" si="15"/>
        <v>8500</v>
      </c>
      <c r="S41" s="37">
        <f t="shared" si="15"/>
        <v>-68333.33477898952</v>
      </c>
      <c r="T41" s="37">
        <f t="shared" si="15"/>
        <v>8500</v>
      </c>
      <c r="U41" s="37">
        <f t="shared" si="15"/>
        <v>8500</v>
      </c>
      <c r="V41" s="37">
        <f t="shared" si="15"/>
        <v>8500</v>
      </c>
      <c r="W41" s="189">
        <f t="shared" si="12"/>
        <v>-1106554.4590140437</v>
      </c>
      <c r="X41" s="189">
        <f>NPV('1сел'!$X$1,B41:V41)</f>
        <v>-1026018.3387869232</v>
      </c>
    </row>
    <row r="42" spans="1:25" x14ac:dyDescent="0.25">
      <c r="A42" s="245" t="s">
        <v>269</v>
      </c>
      <c r="B42" s="245">
        <f>B38-B33</f>
        <v>1870000</v>
      </c>
      <c r="C42" s="245">
        <f t="shared" si="15"/>
        <v>1870000</v>
      </c>
      <c r="D42" s="245">
        <f t="shared" si="15"/>
        <v>1870000</v>
      </c>
      <c r="E42" s="245">
        <f t="shared" si="15"/>
        <v>1870000</v>
      </c>
      <c r="F42" s="245">
        <f t="shared" si="15"/>
        <v>1870000</v>
      </c>
      <c r="G42" s="245">
        <f t="shared" si="15"/>
        <v>1870000</v>
      </c>
      <c r="H42" s="245">
        <f t="shared" si="15"/>
        <v>1870000</v>
      </c>
      <c r="I42" s="245">
        <f t="shared" si="15"/>
        <v>1870000</v>
      </c>
      <c r="J42" s="245">
        <f t="shared" si="15"/>
        <v>1870000</v>
      </c>
      <c r="K42" s="245">
        <f t="shared" si="15"/>
        <v>1921000</v>
      </c>
      <c r="L42" s="245">
        <f t="shared" si="15"/>
        <v>1921000</v>
      </c>
      <c r="M42" s="245">
        <f t="shared" si="15"/>
        <v>1921000</v>
      </c>
      <c r="N42" s="245">
        <f t="shared" si="15"/>
        <v>1921000</v>
      </c>
      <c r="O42" s="245">
        <f t="shared" si="15"/>
        <v>1921000</v>
      </c>
      <c r="P42" s="245">
        <f t="shared" si="15"/>
        <v>1921000</v>
      </c>
      <c r="Q42" s="245">
        <f t="shared" si="15"/>
        <v>1921000</v>
      </c>
      <c r="R42" s="245">
        <f t="shared" si="15"/>
        <v>1921000</v>
      </c>
      <c r="S42" s="245">
        <f t="shared" si="15"/>
        <v>1921000</v>
      </c>
      <c r="T42" s="245">
        <f t="shared" si="15"/>
        <v>1921000</v>
      </c>
      <c r="U42" s="245">
        <f t="shared" si="15"/>
        <v>1921000</v>
      </c>
      <c r="V42" s="245">
        <f t="shared" si="15"/>
        <v>1921000</v>
      </c>
      <c r="W42" s="189">
        <f t="shared" si="12"/>
        <v>39882000</v>
      </c>
      <c r="X42" s="189">
        <f>NPV('1сел'!$X$1,B42:V42)</f>
        <v>32262258.726966508</v>
      </c>
    </row>
    <row r="43" spans="1:25" s="147" customFormat="1" x14ac:dyDescent="0.25">
      <c r="A43" s="272" t="s">
        <v>270</v>
      </c>
      <c r="B43" s="273">
        <f>B39-B34</f>
        <v>0</v>
      </c>
      <c r="C43" s="273">
        <f t="shared" si="15"/>
        <v>0</v>
      </c>
      <c r="D43" s="273">
        <f t="shared" si="15"/>
        <v>0</v>
      </c>
      <c r="E43" s="273">
        <f t="shared" si="15"/>
        <v>0</v>
      </c>
      <c r="F43" s="273">
        <f t="shared" si="15"/>
        <v>0</v>
      </c>
      <c r="G43" s="273">
        <f t="shared" si="15"/>
        <v>0</v>
      </c>
      <c r="H43" s="273">
        <f t="shared" si="15"/>
        <v>0</v>
      </c>
      <c r="I43" s="273">
        <f t="shared" si="15"/>
        <v>-800.00000000000011</v>
      </c>
      <c r="J43" s="273">
        <f t="shared" si="15"/>
        <v>1240</v>
      </c>
      <c r="K43" s="273">
        <f t="shared" si="15"/>
        <v>0</v>
      </c>
      <c r="L43" s="273">
        <f t="shared" si="15"/>
        <v>-800.00000000000011</v>
      </c>
      <c r="M43" s="273">
        <f t="shared" si="15"/>
        <v>1240</v>
      </c>
      <c r="N43" s="273">
        <f t="shared" si="15"/>
        <v>0</v>
      </c>
      <c r="O43" s="273">
        <f t="shared" si="15"/>
        <v>-800.00000000000011</v>
      </c>
      <c r="P43" s="273">
        <f t="shared" si="15"/>
        <v>1240</v>
      </c>
      <c r="Q43" s="273">
        <f t="shared" si="15"/>
        <v>0</v>
      </c>
      <c r="R43" s="273">
        <f t="shared" si="15"/>
        <v>-800.00000000000011</v>
      </c>
      <c r="S43" s="273">
        <f t="shared" si="15"/>
        <v>1240</v>
      </c>
      <c r="T43" s="273">
        <f t="shared" si="15"/>
        <v>0</v>
      </c>
      <c r="U43" s="273">
        <f t="shared" si="15"/>
        <v>0</v>
      </c>
      <c r="V43" s="273">
        <f t="shared" si="15"/>
        <v>0</v>
      </c>
      <c r="W43" s="270">
        <f t="shared" si="12"/>
        <v>1759.9999999999995</v>
      </c>
      <c r="X43" s="270">
        <f>NPV('1сел'!$X$1,B43:V43)</f>
        <v>1301.0111596771853</v>
      </c>
      <c r="Y43" s="145"/>
    </row>
    <row r="44" spans="1:25" x14ac:dyDescent="0.25">
      <c r="A44" s="48" t="s">
        <v>271</v>
      </c>
      <c r="B44" s="37">
        <f>SUM(B41:B43)</f>
        <v>1418039.2071824146</v>
      </c>
      <c r="C44" s="37">
        <f t="shared" ref="C44:V44" si="16">SUM(C41:C43)</f>
        <v>1754298.0370386981</v>
      </c>
      <c r="D44" s="37">
        <f t="shared" si="16"/>
        <v>1704394.0328317564</v>
      </c>
      <c r="E44" s="37">
        <f t="shared" si="16"/>
        <v>1704394.0328317564</v>
      </c>
      <c r="F44" s="37">
        <f t="shared" si="16"/>
        <v>1867890.8496335179</v>
      </c>
      <c r="G44" s="37">
        <f t="shared" si="16"/>
        <v>1869762.7205837707</v>
      </c>
      <c r="H44" s="37">
        <f t="shared" si="16"/>
        <v>1870000</v>
      </c>
      <c r="I44" s="37">
        <f t="shared" si="16"/>
        <v>1869200</v>
      </c>
      <c r="J44" s="37">
        <f>SUM(J41:J43)</f>
        <v>1794406.6652210106</v>
      </c>
      <c r="K44" s="37">
        <f t="shared" si="16"/>
        <v>1929500</v>
      </c>
      <c r="L44" s="37">
        <f t="shared" si="16"/>
        <v>1928700</v>
      </c>
      <c r="M44" s="37">
        <f t="shared" si="16"/>
        <v>1853906.6652210106</v>
      </c>
      <c r="N44" s="37">
        <f t="shared" si="16"/>
        <v>1929500</v>
      </c>
      <c r="O44" s="37">
        <f t="shared" si="16"/>
        <v>1928700</v>
      </c>
      <c r="P44" s="37">
        <f t="shared" si="16"/>
        <v>1853906.6652210106</v>
      </c>
      <c r="Q44" s="37">
        <f t="shared" si="16"/>
        <v>1929500</v>
      </c>
      <c r="R44" s="37">
        <f t="shared" si="16"/>
        <v>1928700</v>
      </c>
      <c r="S44" s="37">
        <f t="shared" si="16"/>
        <v>1853906.6652210106</v>
      </c>
      <c r="T44" s="37">
        <f t="shared" si="16"/>
        <v>1929500</v>
      </c>
      <c r="U44" s="37">
        <f t="shared" si="16"/>
        <v>1929500</v>
      </c>
      <c r="V44" s="37">
        <f t="shared" si="16"/>
        <v>1929500</v>
      </c>
      <c r="W44" s="189">
        <f t="shared" si="12"/>
        <v>38777205.540985957</v>
      </c>
      <c r="X44" s="189">
        <f>NPV('1сел'!$X$1,B44:V44)</f>
        <v>31237541.399339259</v>
      </c>
    </row>
    <row r="45" spans="1:25" x14ac:dyDescent="0.25">
      <c r="A45" s="195" t="s">
        <v>318</v>
      </c>
      <c r="B45" s="196">
        <f t="shared" ref="B45:V45" si="17">B51-B44</f>
        <v>0</v>
      </c>
      <c r="C45" s="196">
        <f t="shared" si="17"/>
        <v>0</v>
      </c>
      <c r="D45" s="196">
        <f t="shared" si="17"/>
        <v>0</v>
      </c>
      <c r="E45" s="196">
        <f t="shared" si="17"/>
        <v>0</v>
      </c>
      <c r="F45" s="196">
        <f t="shared" si="17"/>
        <v>0</v>
      </c>
      <c r="G45" s="196">
        <f t="shared" si="17"/>
        <v>0</v>
      </c>
      <c r="H45" s="196">
        <f t="shared" si="17"/>
        <v>0</v>
      </c>
      <c r="I45" s="196">
        <f t="shared" si="17"/>
        <v>0</v>
      </c>
      <c r="J45" s="263">
        <f t="shared" si="17"/>
        <v>0</v>
      </c>
      <c r="K45" s="196">
        <f t="shared" si="17"/>
        <v>0</v>
      </c>
      <c r="L45" s="196">
        <f t="shared" si="17"/>
        <v>0</v>
      </c>
      <c r="M45" s="196">
        <f t="shared" si="17"/>
        <v>0</v>
      </c>
      <c r="N45" s="196">
        <f t="shared" si="17"/>
        <v>0</v>
      </c>
      <c r="O45" s="196">
        <f t="shared" si="17"/>
        <v>0</v>
      </c>
      <c r="P45" s="196">
        <f t="shared" si="17"/>
        <v>0</v>
      </c>
      <c r="Q45" s="196">
        <f t="shared" si="17"/>
        <v>0</v>
      </c>
      <c r="R45" s="196">
        <f t="shared" si="17"/>
        <v>0</v>
      </c>
      <c r="S45" s="196">
        <f t="shared" si="17"/>
        <v>0</v>
      </c>
      <c r="T45" s="196">
        <f t="shared" si="17"/>
        <v>0</v>
      </c>
      <c r="U45" s="196">
        <f t="shared" si="17"/>
        <v>0</v>
      </c>
      <c r="V45" s="196">
        <f t="shared" si="17"/>
        <v>0</v>
      </c>
      <c r="W45" s="189">
        <f t="shared" si="12"/>
        <v>0</v>
      </c>
      <c r="X45" s="189">
        <f>NPV('1сел'!$X$1,B45:V45)</f>
        <v>0</v>
      </c>
    </row>
    <row r="46" spans="1:25" x14ac:dyDescent="0.25">
      <c r="A46" s="48" t="s">
        <v>272</v>
      </c>
      <c r="B46" s="48">
        <f>B40-B35</f>
        <v>1418039.2071824146</v>
      </c>
      <c r="C46" s="48">
        <f t="shared" ref="C46:V46" si="18">C40-C35</f>
        <v>1754298.0370386981</v>
      </c>
      <c r="D46" s="48">
        <f t="shared" si="18"/>
        <v>1704394.0328317564</v>
      </c>
      <c r="E46" s="48">
        <f t="shared" si="18"/>
        <v>1704394.0328317564</v>
      </c>
      <c r="F46" s="48">
        <f t="shared" si="18"/>
        <v>1867890.8496335179</v>
      </c>
      <c r="G46" s="48">
        <f t="shared" si="18"/>
        <v>1869762.7205837709</v>
      </c>
      <c r="H46" s="48">
        <f t="shared" si="18"/>
        <v>1870000</v>
      </c>
      <c r="I46" s="48">
        <f t="shared" si="18"/>
        <v>1869200</v>
      </c>
      <c r="J46" s="48">
        <f t="shared" si="18"/>
        <v>1794406.6652210103</v>
      </c>
      <c r="K46" s="48">
        <f t="shared" si="18"/>
        <v>1929500</v>
      </c>
      <c r="L46" s="48">
        <f t="shared" si="18"/>
        <v>1928700</v>
      </c>
      <c r="M46" s="48">
        <f t="shared" si="18"/>
        <v>1853906.6652210103</v>
      </c>
      <c r="N46" s="48">
        <f t="shared" si="18"/>
        <v>1929500</v>
      </c>
      <c r="O46" s="48">
        <f t="shared" si="18"/>
        <v>1928700</v>
      </c>
      <c r="P46" s="48">
        <f t="shared" si="18"/>
        <v>1853906.6652210103</v>
      </c>
      <c r="Q46" s="48">
        <f t="shared" si="18"/>
        <v>1929500</v>
      </c>
      <c r="R46" s="48">
        <f t="shared" si="18"/>
        <v>1928700</v>
      </c>
      <c r="S46" s="48">
        <f t="shared" si="18"/>
        <v>1853906.6652210103</v>
      </c>
      <c r="T46" s="48">
        <f t="shared" si="18"/>
        <v>1929500</v>
      </c>
      <c r="U46" s="48">
        <f t="shared" si="18"/>
        <v>1929500</v>
      </c>
      <c r="V46" s="48">
        <f t="shared" si="18"/>
        <v>1929500</v>
      </c>
      <c r="W46" s="189">
        <f t="shared" si="12"/>
        <v>38777205.540985957</v>
      </c>
      <c r="X46" s="189">
        <f>NPV('1сел'!$X$1,B46:V46)</f>
        <v>31237541.399339259</v>
      </c>
    </row>
    <row r="47" spans="1:25" x14ac:dyDescent="0.25">
      <c r="A47" s="274" t="s">
        <v>328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9"/>
      <c r="X47" s="199"/>
    </row>
    <row r="48" spans="1:25" x14ac:dyDescent="0.25">
      <c r="A48" s="39" t="s">
        <v>85</v>
      </c>
      <c r="B48" s="58">
        <f>B37-B32</f>
        <v>-451960.79281758534</v>
      </c>
      <c r="C48" s="58">
        <f t="shared" ref="C48:V50" si="19">C37-C32</f>
        <v>-115701.96296130185</v>
      </c>
      <c r="D48" s="58">
        <f t="shared" si="19"/>
        <v>-165605.96716824357</v>
      </c>
      <c r="E48" s="58">
        <f t="shared" si="19"/>
        <v>-165605.96716824357</v>
      </c>
      <c r="F48" s="58">
        <f t="shared" si="19"/>
        <v>-2109.1503664820652</v>
      </c>
      <c r="G48" s="58">
        <f t="shared" si="19"/>
        <v>-237.27941622923231</v>
      </c>
      <c r="H48" s="58">
        <f t="shared" si="19"/>
        <v>0</v>
      </c>
      <c r="I48" s="58">
        <f t="shared" si="19"/>
        <v>0</v>
      </c>
      <c r="J48" s="58">
        <f t="shared" si="19"/>
        <v>-76833.33477898952</v>
      </c>
      <c r="K48" s="58">
        <f t="shared" si="19"/>
        <v>8500</v>
      </c>
      <c r="L48" s="58">
        <f t="shared" si="19"/>
        <v>8500</v>
      </c>
      <c r="M48" s="58">
        <f t="shared" si="19"/>
        <v>-68333.33477898952</v>
      </c>
      <c r="N48" s="58">
        <f t="shared" si="19"/>
        <v>8500</v>
      </c>
      <c r="O48" s="58">
        <f t="shared" si="19"/>
        <v>8500</v>
      </c>
      <c r="P48" s="58">
        <f t="shared" si="19"/>
        <v>-68333.33477898952</v>
      </c>
      <c r="Q48" s="58">
        <f t="shared" si="19"/>
        <v>8500</v>
      </c>
      <c r="R48" s="58">
        <f t="shared" si="19"/>
        <v>8500</v>
      </c>
      <c r="S48" s="58">
        <f t="shared" si="19"/>
        <v>-68333.33477898952</v>
      </c>
      <c r="T48" s="58">
        <f t="shared" si="19"/>
        <v>8500</v>
      </c>
      <c r="U48" s="58">
        <f t="shared" si="19"/>
        <v>8500</v>
      </c>
      <c r="V48" s="58">
        <f t="shared" si="19"/>
        <v>8500</v>
      </c>
      <c r="W48" s="199">
        <f>SUM(B48:V48)</f>
        <v>-1106554.4590140437</v>
      </c>
      <c r="X48" s="199">
        <f>NPV('1сел'!$X$1,B48:V48)</f>
        <v>-1026018.3387869232</v>
      </c>
    </row>
    <row r="49" spans="1:25" x14ac:dyDescent="0.25">
      <c r="A49" s="38" t="s">
        <v>86</v>
      </c>
      <c r="B49" s="58">
        <f>B38-B33</f>
        <v>1870000</v>
      </c>
      <c r="C49" s="58">
        <f t="shared" si="19"/>
        <v>1870000</v>
      </c>
      <c r="D49" s="58">
        <f t="shared" si="19"/>
        <v>1870000</v>
      </c>
      <c r="E49" s="58">
        <f t="shared" si="19"/>
        <v>1870000</v>
      </c>
      <c r="F49" s="58">
        <f t="shared" si="19"/>
        <v>1870000</v>
      </c>
      <c r="G49" s="58">
        <f t="shared" si="19"/>
        <v>1870000</v>
      </c>
      <c r="H49" s="58">
        <f t="shared" si="19"/>
        <v>1870000</v>
      </c>
      <c r="I49" s="58">
        <f t="shared" si="19"/>
        <v>1870000</v>
      </c>
      <c r="J49" s="58">
        <f t="shared" si="19"/>
        <v>1870000</v>
      </c>
      <c r="K49" s="58">
        <f t="shared" si="19"/>
        <v>1921000</v>
      </c>
      <c r="L49" s="58">
        <f t="shared" si="19"/>
        <v>1921000</v>
      </c>
      <c r="M49" s="58">
        <f t="shared" si="19"/>
        <v>1921000</v>
      </c>
      <c r="N49" s="58">
        <f t="shared" si="19"/>
        <v>1921000</v>
      </c>
      <c r="O49" s="58">
        <f t="shared" si="19"/>
        <v>1921000</v>
      </c>
      <c r="P49" s="58">
        <f t="shared" si="19"/>
        <v>1921000</v>
      </c>
      <c r="Q49" s="58">
        <f t="shared" si="19"/>
        <v>1921000</v>
      </c>
      <c r="R49" s="58">
        <f t="shared" si="19"/>
        <v>1921000</v>
      </c>
      <c r="S49" s="58">
        <f t="shared" si="19"/>
        <v>1921000</v>
      </c>
      <c r="T49" s="58">
        <f t="shared" si="19"/>
        <v>1921000</v>
      </c>
      <c r="U49" s="58">
        <f t="shared" si="19"/>
        <v>1921000</v>
      </c>
      <c r="V49" s="58">
        <f t="shared" si="19"/>
        <v>1921000</v>
      </c>
      <c r="W49" s="199">
        <f>SUM(B49:V49)</f>
        <v>39882000</v>
      </c>
      <c r="X49" s="199">
        <f>NPV('1сел'!$X$1,B49:V49)</f>
        <v>32262258.726966508</v>
      </c>
    </row>
    <row r="50" spans="1:25" x14ac:dyDescent="0.25">
      <c r="A50" s="38" t="s">
        <v>87</v>
      </c>
      <c r="B50" s="58">
        <f>B39-B34</f>
        <v>0</v>
      </c>
      <c r="C50" s="58">
        <f t="shared" si="19"/>
        <v>0</v>
      </c>
      <c r="D50" s="58">
        <f t="shared" si="19"/>
        <v>0</v>
      </c>
      <c r="E50" s="58">
        <f t="shared" si="19"/>
        <v>0</v>
      </c>
      <c r="F50" s="58">
        <f t="shared" si="19"/>
        <v>0</v>
      </c>
      <c r="G50" s="58">
        <f t="shared" si="19"/>
        <v>0</v>
      </c>
      <c r="H50" s="58">
        <f t="shared" si="19"/>
        <v>0</v>
      </c>
      <c r="I50" s="58">
        <f t="shared" si="19"/>
        <v>-800.00000000000011</v>
      </c>
      <c r="J50" s="58">
        <f t="shared" si="19"/>
        <v>1240</v>
      </c>
      <c r="K50" s="58">
        <f t="shared" si="19"/>
        <v>0</v>
      </c>
      <c r="L50" s="58">
        <f t="shared" si="19"/>
        <v>-800.00000000000011</v>
      </c>
      <c r="M50" s="58">
        <f t="shared" si="19"/>
        <v>1240</v>
      </c>
      <c r="N50" s="58">
        <f t="shared" si="19"/>
        <v>0</v>
      </c>
      <c r="O50" s="58">
        <f t="shared" si="19"/>
        <v>-800.00000000000011</v>
      </c>
      <c r="P50" s="58">
        <f t="shared" si="19"/>
        <v>1240</v>
      </c>
      <c r="Q50" s="58">
        <f t="shared" si="19"/>
        <v>0</v>
      </c>
      <c r="R50" s="58">
        <f t="shared" si="19"/>
        <v>-800.00000000000011</v>
      </c>
      <c r="S50" s="58">
        <f t="shared" si="19"/>
        <v>1240</v>
      </c>
      <c r="T50" s="58">
        <f t="shared" si="19"/>
        <v>0</v>
      </c>
      <c r="U50" s="58">
        <f t="shared" si="19"/>
        <v>0</v>
      </c>
      <c r="V50" s="58">
        <f t="shared" si="19"/>
        <v>0</v>
      </c>
      <c r="W50" s="199">
        <f>SUM(B50:V50)</f>
        <v>1759.9999999999995</v>
      </c>
      <c r="X50" s="199">
        <f>NPV('1сел'!$X$1,B50:V50)</f>
        <v>1301.0111596771853</v>
      </c>
    </row>
    <row r="51" spans="1:25" x14ac:dyDescent="0.25">
      <c r="A51" s="95" t="s">
        <v>88</v>
      </c>
      <c r="B51" s="275">
        <f t="shared" ref="B51:V51" si="20">SUM(B48:B50)</f>
        <v>1418039.2071824146</v>
      </c>
      <c r="C51" s="275">
        <f t="shared" si="20"/>
        <v>1754298.0370386981</v>
      </c>
      <c r="D51" s="275">
        <f t="shared" si="20"/>
        <v>1704394.0328317564</v>
      </c>
      <c r="E51" s="275">
        <f t="shared" si="20"/>
        <v>1704394.0328317564</v>
      </c>
      <c r="F51" s="275">
        <f t="shared" si="20"/>
        <v>1867890.8496335179</v>
      </c>
      <c r="G51" s="275">
        <f t="shared" si="20"/>
        <v>1869762.7205837707</v>
      </c>
      <c r="H51" s="275">
        <f t="shared" si="20"/>
        <v>1870000</v>
      </c>
      <c r="I51" s="275">
        <f t="shared" si="20"/>
        <v>1869200</v>
      </c>
      <c r="J51" s="275">
        <f>SUM(J48:J50)</f>
        <v>1794406.6652210106</v>
      </c>
      <c r="K51" s="275">
        <f t="shared" si="20"/>
        <v>1929500</v>
      </c>
      <c r="L51" s="275">
        <f t="shared" si="20"/>
        <v>1928700</v>
      </c>
      <c r="M51" s="275">
        <f t="shared" si="20"/>
        <v>1853906.6652210106</v>
      </c>
      <c r="N51" s="275">
        <f t="shared" si="20"/>
        <v>1929500</v>
      </c>
      <c r="O51" s="275">
        <f t="shared" si="20"/>
        <v>1928700</v>
      </c>
      <c r="P51" s="275">
        <f t="shared" si="20"/>
        <v>1853906.6652210106</v>
      </c>
      <c r="Q51" s="275">
        <f t="shared" si="20"/>
        <v>1929500</v>
      </c>
      <c r="R51" s="275">
        <f t="shared" si="20"/>
        <v>1928700</v>
      </c>
      <c r="S51" s="275">
        <f t="shared" si="20"/>
        <v>1853906.6652210106</v>
      </c>
      <c r="T51" s="275">
        <f t="shared" si="20"/>
        <v>1929500</v>
      </c>
      <c r="U51" s="275">
        <f t="shared" si="20"/>
        <v>1929500</v>
      </c>
      <c r="V51" s="275">
        <f t="shared" si="20"/>
        <v>1929500</v>
      </c>
      <c r="W51" s="199">
        <f>SUM(B51:V51)</f>
        <v>38777205.540985957</v>
      </c>
      <c r="X51" s="199">
        <f>NPV('1сел'!$X$1,B51:V51)</f>
        <v>31237541.399339259</v>
      </c>
    </row>
    <row r="52" spans="1:25" x14ac:dyDescent="0.25">
      <c r="A52" s="67" t="s">
        <v>366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199"/>
      <c r="X52" s="199"/>
    </row>
    <row r="53" spans="1:25" x14ac:dyDescent="0.25">
      <c r="A53" s="95" t="s">
        <v>329</v>
      </c>
      <c r="B53" s="275">
        <f>B48</f>
        <v>-451960.79281758534</v>
      </c>
      <c r="C53" s="275">
        <f>B53+C48</f>
        <v>-567662.75577888719</v>
      </c>
      <c r="D53" s="275">
        <f t="shared" ref="D53:V55" si="21">C53+D48</f>
        <v>-733268.72294713079</v>
      </c>
      <c r="E53" s="275">
        <f t="shared" si="21"/>
        <v>-898874.6901153744</v>
      </c>
      <c r="F53" s="275">
        <f t="shared" si="21"/>
        <v>-900983.84048185649</v>
      </c>
      <c r="G53" s="275">
        <f t="shared" si="21"/>
        <v>-901221.11989808572</v>
      </c>
      <c r="H53" s="275">
        <f t="shared" si="21"/>
        <v>-901221.11989808572</v>
      </c>
      <c r="I53" s="275">
        <f t="shared" si="21"/>
        <v>-901221.11989808572</v>
      </c>
      <c r="J53" s="275">
        <f t="shared" si="21"/>
        <v>-978054.45467707526</v>
      </c>
      <c r="K53" s="275">
        <f t="shared" si="21"/>
        <v>-969554.45467707526</v>
      </c>
      <c r="L53" s="275">
        <f t="shared" si="21"/>
        <v>-961054.45467707526</v>
      </c>
      <c r="M53" s="275">
        <f t="shared" si="21"/>
        <v>-1029387.7894560648</v>
      </c>
      <c r="N53" s="275">
        <f t="shared" si="21"/>
        <v>-1020887.7894560648</v>
      </c>
      <c r="O53" s="275">
        <f t="shared" si="21"/>
        <v>-1012387.7894560648</v>
      </c>
      <c r="P53" s="275">
        <f t="shared" si="21"/>
        <v>-1080721.1242350542</v>
      </c>
      <c r="Q53" s="275">
        <f t="shared" si="21"/>
        <v>-1072221.1242350542</v>
      </c>
      <c r="R53" s="275">
        <f t="shared" si="21"/>
        <v>-1063721.1242350542</v>
      </c>
      <c r="S53" s="275">
        <f t="shared" si="21"/>
        <v>-1132054.4590140437</v>
      </c>
      <c r="T53" s="275">
        <f t="shared" si="21"/>
        <v>-1123554.4590140437</v>
      </c>
      <c r="U53" s="275">
        <f t="shared" si="21"/>
        <v>-1115054.4590140437</v>
      </c>
      <c r="V53" s="275">
        <f t="shared" si="21"/>
        <v>-1106554.4590140437</v>
      </c>
      <c r="W53" s="276" t="s">
        <v>334</v>
      </c>
      <c r="X53" s="276">
        <f>MIN(B53:V53)</f>
        <v>-1132054.4590140437</v>
      </c>
    </row>
    <row r="54" spans="1:25" x14ac:dyDescent="0.25">
      <c r="A54" s="95" t="s">
        <v>330</v>
      </c>
      <c r="B54" s="275">
        <f>B49</f>
        <v>1870000</v>
      </c>
      <c r="C54" s="275">
        <f>B54+C49</f>
        <v>3740000</v>
      </c>
      <c r="D54" s="275">
        <f t="shared" si="21"/>
        <v>5610000</v>
      </c>
      <c r="E54" s="275">
        <f t="shared" si="21"/>
        <v>7480000</v>
      </c>
      <c r="F54" s="275">
        <f t="shared" si="21"/>
        <v>9350000</v>
      </c>
      <c r="G54" s="275">
        <f t="shared" si="21"/>
        <v>11220000</v>
      </c>
      <c r="H54" s="275">
        <f t="shared" si="21"/>
        <v>13090000</v>
      </c>
      <c r="I54" s="275">
        <f t="shared" si="21"/>
        <v>14960000</v>
      </c>
      <c r="J54" s="275">
        <f t="shared" si="21"/>
        <v>16830000</v>
      </c>
      <c r="K54" s="275">
        <f t="shared" si="21"/>
        <v>18751000</v>
      </c>
      <c r="L54" s="275">
        <f t="shared" si="21"/>
        <v>20672000</v>
      </c>
      <c r="M54" s="275">
        <f t="shared" si="21"/>
        <v>22593000</v>
      </c>
      <c r="N54" s="275">
        <f t="shared" si="21"/>
        <v>24514000</v>
      </c>
      <c r="O54" s="275">
        <f t="shared" si="21"/>
        <v>26435000</v>
      </c>
      <c r="P54" s="275">
        <f t="shared" si="21"/>
        <v>28356000</v>
      </c>
      <c r="Q54" s="275">
        <f t="shared" si="21"/>
        <v>30277000</v>
      </c>
      <c r="R54" s="275">
        <f t="shared" si="21"/>
        <v>32198000</v>
      </c>
      <c r="S54" s="275">
        <f t="shared" si="21"/>
        <v>34119000</v>
      </c>
      <c r="T54" s="275">
        <f t="shared" si="21"/>
        <v>36040000</v>
      </c>
      <c r="U54" s="275">
        <f t="shared" si="21"/>
        <v>37961000</v>
      </c>
      <c r="V54" s="275">
        <f t="shared" si="21"/>
        <v>39882000</v>
      </c>
      <c r="W54" s="276" t="s">
        <v>334</v>
      </c>
      <c r="X54" s="276">
        <f>MIN(B54:V54)</f>
        <v>1870000</v>
      </c>
    </row>
    <row r="55" spans="1:25" x14ac:dyDescent="0.25">
      <c r="A55" s="95" t="s">
        <v>331</v>
      </c>
      <c r="B55" s="275">
        <f>B50</f>
        <v>0</v>
      </c>
      <c r="C55" s="275">
        <f>B55+C50</f>
        <v>0</v>
      </c>
      <c r="D55" s="275">
        <f t="shared" si="21"/>
        <v>0</v>
      </c>
      <c r="E55" s="275">
        <f t="shared" si="21"/>
        <v>0</v>
      </c>
      <c r="F55" s="275">
        <f t="shared" si="21"/>
        <v>0</v>
      </c>
      <c r="G55" s="275">
        <f t="shared" si="21"/>
        <v>0</v>
      </c>
      <c r="H55" s="275">
        <f t="shared" si="21"/>
        <v>0</v>
      </c>
      <c r="I55" s="275">
        <f t="shared" si="21"/>
        <v>-800.00000000000011</v>
      </c>
      <c r="J55" s="275">
        <f t="shared" si="21"/>
        <v>439.99999999999989</v>
      </c>
      <c r="K55" s="275">
        <f t="shared" si="21"/>
        <v>439.99999999999989</v>
      </c>
      <c r="L55" s="275">
        <f t="shared" si="21"/>
        <v>-360.00000000000023</v>
      </c>
      <c r="M55" s="275">
        <f t="shared" si="21"/>
        <v>879.99999999999977</v>
      </c>
      <c r="N55" s="275">
        <f t="shared" si="21"/>
        <v>879.99999999999977</v>
      </c>
      <c r="O55" s="275">
        <f t="shared" si="21"/>
        <v>79.999999999999659</v>
      </c>
      <c r="P55" s="275">
        <f t="shared" si="21"/>
        <v>1319.9999999999995</v>
      </c>
      <c r="Q55" s="275">
        <f t="shared" si="21"/>
        <v>1319.9999999999995</v>
      </c>
      <c r="R55" s="275">
        <f t="shared" si="21"/>
        <v>519.99999999999943</v>
      </c>
      <c r="S55" s="275">
        <f t="shared" si="21"/>
        <v>1759.9999999999995</v>
      </c>
      <c r="T55" s="275">
        <f t="shared" si="21"/>
        <v>1759.9999999999995</v>
      </c>
      <c r="U55" s="275">
        <f t="shared" si="21"/>
        <v>1759.9999999999995</v>
      </c>
      <c r="V55" s="275">
        <f t="shared" si="21"/>
        <v>1759.9999999999995</v>
      </c>
      <c r="W55" s="276" t="s">
        <v>334</v>
      </c>
      <c r="X55" s="276">
        <f>MIN(B55:V55)</f>
        <v>-800.00000000000011</v>
      </c>
    </row>
    <row r="56" spans="1:25" x14ac:dyDescent="0.25">
      <c r="A56" s="95" t="s">
        <v>332</v>
      </c>
      <c r="B56" s="275">
        <f>SUM(B53:B55)</f>
        <v>1418039.2071824146</v>
      </c>
      <c r="C56" s="275">
        <f>B56+SUM(C48:C50)</f>
        <v>3172337.2442211127</v>
      </c>
      <c r="D56" s="275">
        <f t="shared" ref="D56:S56" si="22">C56+SUM(D48:D50)</f>
        <v>4876731.2770528691</v>
      </c>
      <c r="E56" s="275">
        <f t="shared" si="22"/>
        <v>6581125.3098846255</v>
      </c>
      <c r="F56" s="275">
        <f t="shared" si="22"/>
        <v>8449016.1595181432</v>
      </c>
      <c r="G56" s="275">
        <f t="shared" si="22"/>
        <v>10318778.880101914</v>
      </c>
      <c r="H56" s="275">
        <f t="shared" si="22"/>
        <v>12188778.880101914</v>
      </c>
      <c r="I56" s="275">
        <f t="shared" si="22"/>
        <v>14057978.880101914</v>
      </c>
      <c r="J56" s="275">
        <f t="shared" si="22"/>
        <v>15852385.545322925</v>
      </c>
      <c r="K56" s="275">
        <f t="shared" si="22"/>
        <v>17781885.545322925</v>
      </c>
      <c r="L56" s="275">
        <f t="shared" si="22"/>
        <v>19710585.545322925</v>
      </c>
      <c r="M56" s="275">
        <f t="shared" si="22"/>
        <v>21564492.210543934</v>
      </c>
      <c r="N56" s="275">
        <f t="shared" si="22"/>
        <v>23493992.210543934</v>
      </c>
      <c r="O56" s="275">
        <f t="shared" si="22"/>
        <v>25422692.210543934</v>
      </c>
      <c r="P56" s="275">
        <f t="shared" si="22"/>
        <v>27276598.875764944</v>
      </c>
      <c r="Q56" s="275">
        <f t="shared" si="22"/>
        <v>29206098.875764944</v>
      </c>
      <c r="R56" s="275">
        <f t="shared" si="22"/>
        <v>31134798.875764944</v>
      </c>
      <c r="S56" s="275">
        <f t="shared" si="22"/>
        <v>32988705.540985953</v>
      </c>
      <c r="T56" s="275">
        <f>S56+SUM(T48:T50)</f>
        <v>34918205.540985957</v>
      </c>
      <c r="U56" s="275">
        <f>T56+SUM(U48:U50)</f>
        <v>36847705.540985957</v>
      </c>
      <c r="V56" s="275">
        <f>U56+SUM(V48:V50)</f>
        <v>38777205.540985957</v>
      </c>
      <c r="W56" s="276" t="s">
        <v>334</v>
      </c>
      <c r="X56" s="276">
        <f>MIN(B56:V56)</f>
        <v>1418039.2071824146</v>
      </c>
    </row>
    <row r="57" spans="1:25" x14ac:dyDescent="0.25">
      <c r="A57" s="95" t="s">
        <v>333</v>
      </c>
      <c r="B57" s="275">
        <f>B51</f>
        <v>1418039.2071824146</v>
      </c>
      <c r="C57" s="275">
        <f>B57+C51</f>
        <v>3172337.2442211127</v>
      </c>
      <c r="D57" s="275">
        <f t="shared" ref="D57:V57" si="23">C57+D51</f>
        <v>4876731.2770528691</v>
      </c>
      <c r="E57" s="275">
        <f t="shared" si="23"/>
        <v>6581125.3098846255</v>
      </c>
      <c r="F57" s="275">
        <f t="shared" si="23"/>
        <v>8449016.1595181432</v>
      </c>
      <c r="G57" s="275">
        <f t="shared" si="23"/>
        <v>10318778.880101914</v>
      </c>
      <c r="H57" s="275">
        <f t="shared" si="23"/>
        <v>12188778.880101914</v>
      </c>
      <c r="I57" s="275">
        <f t="shared" si="23"/>
        <v>14057978.880101914</v>
      </c>
      <c r="J57" s="275">
        <f t="shared" si="23"/>
        <v>15852385.545322925</v>
      </c>
      <c r="K57" s="275">
        <f t="shared" si="23"/>
        <v>17781885.545322925</v>
      </c>
      <c r="L57" s="275">
        <f t="shared" si="23"/>
        <v>19710585.545322925</v>
      </c>
      <c r="M57" s="275">
        <f t="shared" si="23"/>
        <v>21564492.210543934</v>
      </c>
      <c r="N57" s="275">
        <f t="shared" si="23"/>
        <v>23493992.210543934</v>
      </c>
      <c r="O57" s="275">
        <f t="shared" si="23"/>
        <v>25422692.210543934</v>
      </c>
      <c r="P57" s="275">
        <f t="shared" si="23"/>
        <v>27276598.875764944</v>
      </c>
      <c r="Q57" s="275">
        <f t="shared" si="23"/>
        <v>29206098.875764944</v>
      </c>
      <c r="R57" s="275">
        <f t="shared" si="23"/>
        <v>31134798.875764944</v>
      </c>
      <c r="S57" s="275">
        <f t="shared" si="23"/>
        <v>32988705.540985953</v>
      </c>
      <c r="T57" s="275">
        <f t="shared" si="23"/>
        <v>34918205.540985957</v>
      </c>
      <c r="U57" s="275">
        <f t="shared" si="23"/>
        <v>36847705.540985957</v>
      </c>
      <c r="V57" s="275">
        <f t="shared" si="23"/>
        <v>38777205.540985957</v>
      </c>
      <c r="W57" s="276" t="s">
        <v>334</v>
      </c>
      <c r="X57" s="276">
        <f>MIN(B57:V57)</f>
        <v>1418039.2071824146</v>
      </c>
    </row>
    <row r="58" spans="1:25" s="284" customFormat="1" x14ac:dyDescent="0.25">
      <c r="A58" s="281" t="s">
        <v>347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3"/>
      <c r="X58" s="283"/>
      <c r="Y58" s="47"/>
    </row>
    <row r="59" spans="1:25" x14ac:dyDescent="0.25">
      <c r="A59" s="278" t="s">
        <v>342</v>
      </c>
      <c r="B59" s="64">
        <f t="shared" ref="B59:Q62" si="24">IF(AND(B53&lt;0,C53&gt;0),B$2+(-B53/(-B53+C53)),0)</f>
        <v>0</v>
      </c>
      <c r="C59" s="64">
        <f t="shared" si="24"/>
        <v>0</v>
      </c>
      <c r="D59" s="64">
        <f t="shared" si="24"/>
        <v>0</v>
      </c>
      <c r="E59" s="64">
        <f t="shared" si="24"/>
        <v>0</v>
      </c>
      <c r="F59" s="64">
        <f t="shared" si="24"/>
        <v>0</v>
      </c>
      <c r="G59" s="64">
        <f t="shared" si="24"/>
        <v>0</v>
      </c>
      <c r="H59" s="64">
        <f t="shared" si="24"/>
        <v>0</v>
      </c>
      <c r="I59" s="64">
        <f t="shared" si="24"/>
        <v>0</v>
      </c>
      <c r="J59" s="64">
        <f t="shared" si="24"/>
        <v>0</v>
      </c>
      <c r="K59" s="64">
        <f t="shared" si="24"/>
        <v>0</v>
      </c>
      <c r="L59" s="64">
        <f t="shared" si="24"/>
        <v>0</v>
      </c>
      <c r="M59" s="64">
        <f>IF(AND(M53&lt;0,N53&gt;0),M$2+(-M53/(-M53+N53)),0)</f>
        <v>0</v>
      </c>
      <c r="N59" s="64">
        <f t="shared" ref="N59:S62" si="25">IF(AND(N53&lt;0,O53&gt;0),N$2+(-N53/(-N53+O53)),0)</f>
        <v>0</v>
      </c>
      <c r="O59" s="64">
        <f t="shared" si="25"/>
        <v>0</v>
      </c>
      <c r="P59" s="64">
        <f t="shared" si="25"/>
        <v>0</v>
      </c>
      <c r="Q59" s="64">
        <f t="shared" si="25"/>
        <v>0</v>
      </c>
      <c r="R59" s="64">
        <f t="shared" si="25"/>
        <v>0</v>
      </c>
      <c r="S59" s="64">
        <f t="shared" si="25"/>
        <v>0</v>
      </c>
      <c r="T59" s="64">
        <f t="shared" ref="T59:V62" si="26">IF(AND(T53&lt;0,V53&gt;0),T$2+(-T53/(-T53+V53)),0)</f>
        <v>0</v>
      </c>
      <c r="U59" s="64" t="e">
        <f t="shared" si="26"/>
        <v>#VALUE!</v>
      </c>
      <c r="V59" s="64">
        <f t="shared" si="26"/>
        <v>0</v>
      </c>
      <c r="W59" s="279" t="s">
        <v>346</v>
      </c>
      <c r="X59" s="280" t="e">
        <f>MAX(B59:V59)</f>
        <v>#VALUE!</v>
      </c>
    </row>
    <row r="60" spans="1:25" x14ac:dyDescent="0.25">
      <c r="A60" s="278" t="s">
        <v>343</v>
      </c>
      <c r="B60" s="64">
        <f t="shared" si="24"/>
        <v>0</v>
      </c>
      <c r="C60" s="64">
        <f t="shared" si="24"/>
        <v>0</v>
      </c>
      <c r="D60" s="64">
        <f t="shared" si="24"/>
        <v>0</v>
      </c>
      <c r="E60" s="64">
        <f t="shared" si="24"/>
        <v>0</v>
      </c>
      <c r="F60" s="64">
        <f t="shared" si="24"/>
        <v>0</v>
      </c>
      <c r="G60" s="64">
        <f t="shared" si="24"/>
        <v>0</v>
      </c>
      <c r="H60" s="64">
        <f t="shared" si="24"/>
        <v>0</v>
      </c>
      <c r="I60" s="64">
        <f t="shared" si="24"/>
        <v>0</v>
      </c>
      <c r="J60" s="64">
        <f t="shared" si="24"/>
        <v>0</v>
      </c>
      <c r="K60" s="64">
        <f t="shared" si="24"/>
        <v>0</v>
      </c>
      <c r="L60" s="64">
        <f t="shared" si="24"/>
        <v>0</v>
      </c>
      <c r="M60" s="64">
        <f t="shared" si="24"/>
        <v>0</v>
      </c>
      <c r="N60" s="64">
        <f t="shared" si="24"/>
        <v>0</v>
      </c>
      <c r="O60" s="64">
        <f t="shared" si="24"/>
        <v>0</v>
      </c>
      <c r="P60" s="64">
        <f t="shared" si="24"/>
        <v>0</v>
      </c>
      <c r="Q60" s="64">
        <f t="shared" si="24"/>
        <v>0</v>
      </c>
      <c r="R60" s="64">
        <f t="shared" si="25"/>
        <v>0</v>
      </c>
      <c r="S60" s="64">
        <f t="shared" si="25"/>
        <v>0</v>
      </c>
      <c r="T60" s="64">
        <f t="shared" si="26"/>
        <v>0</v>
      </c>
      <c r="U60" s="64">
        <f t="shared" si="26"/>
        <v>0</v>
      </c>
      <c r="V60" s="64">
        <f t="shared" si="26"/>
        <v>0</v>
      </c>
      <c r="W60" s="279" t="s">
        <v>346</v>
      </c>
      <c r="X60" s="280">
        <f>MAX(B60:V60)</f>
        <v>0</v>
      </c>
    </row>
    <row r="61" spans="1:25" x14ac:dyDescent="0.25">
      <c r="A61" s="278" t="s">
        <v>344</v>
      </c>
      <c r="B61" s="64">
        <f t="shared" si="24"/>
        <v>0</v>
      </c>
      <c r="C61" s="64">
        <f t="shared" si="24"/>
        <v>0</v>
      </c>
      <c r="D61" s="64">
        <f t="shared" si="24"/>
        <v>0</v>
      </c>
      <c r="E61" s="64">
        <f t="shared" si="24"/>
        <v>0</v>
      </c>
      <c r="F61" s="64">
        <f t="shared" si="24"/>
        <v>0</v>
      </c>
      <c r="G61" s="64">
        <f t="shared" si="24"/>
        <v>0</v>
      </c>
      <c r="H61" s="64">
        <f t="shared" si="24"/>
        <v>0</v>
      </c>
      <c r="I61" s="64">
        <f t="shared" si="24"/>
        <v>8.6451612903225801</v>
      </c>
      <c r="J61" s="64">
        <f t="shared" si="24"/>
        <v>0</v>
      </c>
      <c r="K61" s="64">
        <f t="shared" si="24"/>
        <v>0</v>
      </c>
      <c r="L61" s="64">
        <f t="shared" si="24"/>
        <v>11.290322580645162</v>
      </c>
      <c r="M61" s="64">
        <f t="shared" si="24"/>
        <v>0</v>
      </c>
      <c r="N61" s="64">
        <f t="shared" si="24"/>
        <v>0</v>
      </c>
      <c r="O61" s="64">
        <f t="shared" si="24"/>
        <v>0</v>
      </c>
      <c r="P61" s="64">
        <f t="shared" si="24"/>
        <v>0</v>
      </c>
      <c r="Q61" s="64">
        <f t="shared" si="24"/>
        <v>0</v>
      </c>
      <c r="R61" s="64">
        <f t="shared" si="25"/>
        <v>0</v>
      </c>
      <c r="S61" s="64">
        <f t="shared" si="25"/>
        <v>0</v>
      </c>
      <c r="T61" s="64">
        <f t="shared" si="26"/>
        <v>0</v>
      </c>
      <c r="U61" s="64">
        <f t="shared" si="26"/>
        <v>0</v>
      </c>
      <c r="V61" s="64">
        <f t="shared" si="26"/>
        <v>0</v>
      </c>
      <c r="W61" s="279" t="s">
        <v>346</v>
      </c>
      <c r="X61" s="280">
        <f>MAX(B61:V61)</f>
        <v>11.290322580645162</v>
      </c>
    </row>
    <row r="62" spans="1:25" x14ac:dyDescent="0.25">
      <c r="A62" s="278" t="s">
        <v>345</v>
      </c>
      <c r="B62" s="64">
        <f t="shared" si="24"/>
        <v>0</v>
      </c>
      <c r="C62" s="64">
        <f t="shared" si="24"/>
        <v>0</v>
      </c>
      <c r="D62" s="64">
        <f t="shared" si="24"/>
        <v>0</v>
      </c>
      <c r="E62" s="64">
        <f t="shared" si="24"/>
        <v>0</v>
      </c>
      <c r="F62" s="64">
        <f t="shared" si="24"/>
        <v>0</v>
      </c>
      <c r="G62" s="64">
        <f t="shared" si="24"/>
        <v>0</v>
      </c>
      <c r="H62" s="64">
        <f t="shared" si="24"/>
        <v>0</v>
      </c>
      <c r="I62" s="64">
        <f t="shared" si="24"/>
        <v>0</v>
      </c>
      <c r="J62" s="64">
        <f t="shared" si="24"/>
        <v>0</v>
      </c>
      <c r="K62" s="64">
        <f t="shared" si="24"/>
        <v>0</v>
      </c>
      <c r="L62" s="64">
        <f t="shared" si="24"/>
        <v>0</v>
      </c>
      <c r="M62" s="64">
        <f t="shared" si="24"/>
        <v>0</v>
      </c>
      <c r="N62" s="64">
        <f t="shared" si="24"/>
        <v>0</v>
      </c>
      <c r="O62" s="64">
        <f t="shared" si="24"/>
        <v>0</v>
      </c>
      <c r="P62" s="64">
        <f t="shared" si="24"/>
        <v>0</v>
      </c>
      <c r="Q62" s="64">
        <f t="shared" si="24"/>
        <v>0</v>
      </c>
      <c r="R62" s="64">
        <f t="shared" si="25"/>
        <v>0</v>
      </c>
      <c r="S62" s="64">
        <f t="shared" si="25"/>
        <v>0</v>
      </c>
      <c r="T62" s="64">
        <f t="shared" si="26"/>
        <v>0</v>
      </c>
      <c r="U62" s="64">
        <f t="shared" si="26"/>
        <v>0</v>
      </c>
      <c r="V62" s="64">
        <f t="shared" si="26"/>
        <v>0</v>
      </c>
      <c r="W62" s="279" t="s">
        <v>346</v>
      </c>
      <c r="X62" s="280">
        <f>MAX(B62:V62)</f>
        <v>0</v>
      </c>
    </row>
    <row r="63" spans="1:25" x14ac:dyDescent="0.25">
      <c r="A63" t="s">
        <v>319</v>
      </c>
    </row>
    <row r="64" spans="1:25" x14ac:dyDescent="0.25">
      <c r="A64" t="s">
        <v>320</v>
      </c>
      <c r="B64" s="215">
        <f t="shared" ref="B64:V66" si="27">B48-B19</f>
        <v>-447563.79281758534</v>
      </c>
      <c r="C64" s="215">
        <f t="shared" si="27"/>
        <v>-111304.96296130185</v>
      </c>
      <c r="D64" s="215">
        <f t="shared" si="27"/>
        <v>-161208.96716824357</v>
      </c>
      <c r="E64" s="215">
        <f t="shared" si="27"/>
        <v>-161208.96716824357</v>
      </c>
      <c r="F64" s="215">
        <f t="shared" si="27"/>
        <v>2287.8496335179348</v>
      </c>
      <c r="G64" s="215">
        <f t="shared" si="27"/>
        <v>4159.7205837707679</v>
      </c>
      <c r="H64" s="215">
        <f t="shared" si="27"/>
        <v>4397</v>
      </c>
      <c r="I64" s="215">
        <f t="shared" si="27"/>
        <v>4397</v>
      </c>
      <c r="J64" s="215">
        <f t="shared" si="27"/>
        <v>-72436.33477898952</v>
      </c>
      <c r="K64" s="215">
        <f t="shared" si="27"/>
        <v>12897</v>
      </c>
      <c r="L64" s="215">
        <f t="shared" si="27"/>
        <v>12897</v>
      </c>
      <c r="M64" s="215">
        <f t="shared" si="27"/>
        <v>-63936.33477898952</v>
      </c>
      <c r="N64" s="215">
        <f t="shared" si="27"/>
        <v>11988</v>
      </c>
      <c r="O64" s="215">
        <f t="shared" si="27"/>
        <v>11988</v>
      </c>
      <c r="P64" s="215">
        <f t="shared" si="27"/>
        <v>-68327.034778989517</v>
      </c>
      <c r="Q64" s="215">
        <f t="shared" si="27"/>
        <v>8500</v>
      </c>
      <c r="R64" s="215">
        <f t="shared" si="27"/>
        <v>8500</v>
      </c>
      <c r="S64" s="215">
        <f t="shared" si="27"/>
        <v>-66293.33477898952</v>
      </c>
      <c r="T64" s="215">
        <f t="shared" si="27"/>
        <v>0</v>
      </c>
      <c r="U64" s="215">
        <f t="shared" si="27"/>
        <v>0</v>
      </c>
      <c r="V64" s="215">
        <f t="shared" si="27"/>
        <v>0</v>
      </c>
      <c r="W64" s="189">
        <f>SUM(B64:V64)</f>
        <v>-1070268.1590140439</v>
      </c>
      <c r="X64" s="189">
        <f>NPV('1сел'!$X$1,B64:V64)</f>
        <v>-989908.76401961118</v>
      </c>
    </row>
    <row r="65" spans="1:25" x14ac:dyDescent="0.25">
      <c r="A65" t="s">
        <v>321</v>
      </c>
      <c r="B65">
        <f t="shared" si="27"/>
        <v>0</v>
      </c>
      <c r="C65">
        <f t="shared" si="27"/>
        <v>0</v>
      </c>
      <c r="D65">
        <f t="shared" si="27"/>
        <v>0</v>
      </c>
      <c r="E65">
        <f t="shared" si="27"/>
        <v>0</v>
      </c>
      <c r="F65">
        <f t="shared" si="27"/>
        <v>0</v>
      </c>
      <c r="G65">
        <f t="shared" si="27"/>
        <v>0</v>
      </c>
      <c r="H65">
        <f t="shared" si="27"/>
        <v>0</v>
      </c>
      <c r="I65">
        <f t="shared" si="27"/>
        <v>0</v>
      </c>
      <c r="J65">
        <f t="shared" si="27"/>
        <v>0</v>
      </c>
      <c r="K65">
        <f t="shared" si="27"/>
        <v>51000</v>
      </c>
      <c r="L65">
        <f t="shared" si="27"/>
        <v>51000</v>
      </c>
      <c r="M65">
        <f t="shared" si="27"/>
        <v>51000</v>
      </c>
      <c r="N65">
        <f t="shared" si="27"/>
        <v>51000</v>
      </c>
      <c r="O65">
        <f t="shared" si="27"/>
        <v>51000</v>
      </c>
      <c r="P65">
        <f t="shared" si="27"/>
        <v>51000</v>
      </c>
      <c r="Q65">
        <f t="shared" si="27"/>
        <v>51000</v>
      </c>
      <c r="R65">
        <f t="shared" si="27"/>
        <v>51000</v>
      </c>
      <c r="S65">
        <f t="shared" si="27"/>
        <v>51000</v>
      </c>
      <c r="T65">
        <f t="shared" si="27"/>
        <v>0</v>
      </c>
      <c r="U65">
        <f t="shared" si="27"/>
        <v>0</v>
      </c>
      <c r="V65">
        <f t="shared" si="27"/>
        <v>0</v>
      </c>
      <c r="W65" s="189">
        <f>SUM(B65:V65)</f>
        <v>459000</v>
      </c>
      <c r="X65" s="189">
        <f>NPV('1сел'!$X$1,B65:V65)</f>
        <v>348319.52181293961</v>
      </c>
    </row>
    <row r="66" spans="1:25" x14ac:dyDescent="0.25">
      <c r="A66" t="s">
        <v>322</v>
      </c>
      <c r="B66" s="215">
        <f t="shared" si="27"/>
        <v>0</v>
      </c>
      <c r="C66" s="215">
        <f t="shared" si="27"/>
        <v>0</v>
      </c>
      <c r="D66" s="215">
        <f t="shared" si="27"/>
        <v>0</v>
      </c>
      <c r="E66" s="215">
        <f t="shared" si="27"/>
        <v>0</v>
      </c>
      <c r="F66" s="215">
        <f t="shared" si="27"/>
        <v>0</v>
      </c>
      <c r="G66" s="215">
        <f t="shared" si="27"/>
        <v>0</v>
      </c>
      <c r="H66" s="215">
        <f t="shared" si="27"/>
        <v>0</v>
      </c>
      <c r="I66" s="215">
        <f t="shared" si="27"/>
        <v>-800.00000000000011</v>
      </c>
      <c r="J66" s="215">
        <f t="shared" si="27"/>
        <v>1240</v>
      </c>
      <c r="K66" s="215">
        <f t="shared" si="27"/>
        <v>0</v>
      </c>
      <c r="L66" s="215">
        <f t="shared" si="27"/>
        <v>-800.00000000000011</v>
      </c>
      <c r="M66" s="215">
        <f t="shared" si="27"/>
        <v>1240</v>
      </c>
      <c r="N66" s="215">
        <f t="shared" si="27"/>
        <v>0</v>
      </c>
      <c r="O66" s="215">
        <f t="shared" si="27"/>
        <v>-800.00000000000011</v>
      </c>
      <c r="P66" s="215">
        <f t="shared" si="27"/>
        <v>1240</v>
      </c>
      <c r="Q66" s="215">
        <f t="shared" si="27"/>
        <v>0</v>
      </c>
      <c r="R66" s="215">
        <f t="shared" si="27"/>
        <v>0</v>
      </c>
      <c r="S66" s="215">
        <f t="shared" si="27"/>
        <v>0</v>
      </c>
      <c r="T66" s="215">
        <f t="shared" si="27"/>
        <v>0</v>
      </c>
      <c r="U66" s="215">
        <f t="shared" si="27"/>
        <v>0</v>
      </c>
      <c r="V66" s="215">
        <f t="shared" si="27"/>
        <v>0</v>
      </c>
      <c r="W66" s="189">
        <f>SUM(B66:V66)</f>
        <v>1319.9999999999995</v>
      </c>
      <c r="X66" s="189">
        <f>NPV('1сел'!$X$1,B66:V66)</f>
        <v>1004.143584691761</v>
      </c>
    </row>
    <row r="67" spans="1:25" x14ac:dyDescent="0.25">
      <c r="A67" s="145" t="s">
        <v>419</v>
      </c>
      <c r="B67" s="215">
        <f>SUM(B64:B66)</f>
        <v>-447563.79281758534</v>
      </c>
      <c r="C67" s="215">
        <f t="shared" ref="C67:V67" si="28">SUM(C64:C66)</f>
        <v>-111304.96296130185</v>
      </c>
      <c r="D67" s="215">
        <f t="shared" si="28"/>
        <v>-161208.96716824357</v>
      </c>
      <c r="E67" s="215">
        <f t="shared" si="28"/>
        <v>-161208.96716824357</v>
      </c>
      <c r="F67" s="215">
        <f t="shared" si="28"/>
        <v>2287.8496335179348</v>
      </c>
      <c r="G67" s="215">
        <f t="shared" si="28"/>
        <v>4159.7205837707679</v>
      </c>
      <c r="H67" s="215">
        <f t="shared" si="28"/>
        <v>4397</v>
      </c>
      <c r="I67" s="215">
        <f t="shared" si="28"/>
        <v>3597</v>
      </c>
      <c r="J67" s="215">
        <f t="shared" si="28"/>
        <v>-71196.33477898952</v>
      </c>
      <c r="K67" s="215">
        <f t="shared" si="28"/>
        <v>63897</v>
      </c>
      <c r="L67" s="215">
        <f t="shared" si="28"/>
        <v>63097</v>
      </c>
      <c r="M67" s="215">
        <f t="shared" si="28"/>
        <v>-11696.33477898952</v>
      </c>
      <c r="N67" s="215">
        <f t="shared" si="28"/>
        <v>62988</v>
      </c>
      <c r="O67" s="215">
        <f t="shared" si="28"/>
        <v>62188</v>
      </c>
      <c r="P67" s="215">
        <f t="shared" si="28"/>
        <v>-16087.034778989517</v>
      </c>
      <c r="Q67" s="215">
        <f t="shared" si="28"/>
        <v>59500</v>
      </c>
      <c r="R67" s="215">
        <f t="shared" si="28"/>
        <v>59500</v>
      </c>
      <c r="S67" s="215">
        <f t="shared" si="28"/>
        <v>-15293.33477898952</v>
      </c>
      <c r="T67" s="215">
        <f t="shared" si="28"/>
        <v>0</v>
      </c>
      <c r="U67" s="215">
        <f t="shared" si="28"/>
        <v>0</v>
      </c>
      <c r="V67" s="215">
        <f t="shared" si="28"/>
        <v>0</v>
      </c>
      <c r="W67" s="189">
        <f>SUM(B67:V67)</f>
        <v>-609948.15901404386</v>
      </c>
      <c r="X67" s="189">
        <f>NPV('1сел'!$X$1,B67:V67)</f>
        <v>-640585.09862197959</v>
      </c>
    </row>
    <row r="68" spans="1:25" x14ac:dyDescent="0.25">
      <c r="A68" t="s">
        <v>420</v>
      </c>
    </row>
    <row r="69" spans="1:25" x14ac:dyDescent="0.25">
      <c r="A69" t="s">
        <v>320</v>
      </c>
      <c r="B69" s="215">
        <f>'1сел'!B38</f>
        <v>-7603</v>
      </c>
      <c r="C69" s="215">
        <f>'1сел'!C38</f>
        <v>1325</v>
      </c>
      <c r="D69" s="215">
        <f>'1сел'!D38</f>
        <v>0</v>
      </c>
      <c r="E69" s="215">
        <f>'1сел'!E38</f>
        <v>0</v>
      </c>
      <c r="F69" s="215">
        <f>'1сел'!F38</f>
        <v>4341</v>
      </c>
      <c r="G69" s="215">
        <f>'1сел'!G38</f>
        <v>4390.7</v>
      </c>
      <c r="H69" s="215">
        <f>'1сел'!H38</f>
        <v>4397</v>
      </c>
      <c r="I69" s="215">
        <f>'1сел'!I38</f>
        <v>4397</v>
      </c>
      <c r="J69" s="215">
        <f>'1сел'!J38</f>
        <v>2357</v>
      </c>
      <c r="K69" s="215">
        <f>'1сел'!K38</f>
        <v>12897</v>
      </c>
      <c r="L69" s="215">
        <f>'1сел'!L38</f>
        <v>12897</v>
      </c>
      <c r="M69" s="215">
        <f>'1сел'!M38</f>
        <v>10857</v>
      </c>
      <c r="N69" s="215">
        <f>'1сел'!N38</f>
        <v>11988</v>
      </c>
      <c r="O69" s="215">
        <f>'1сел'!O38</f>
        <v>11988</v>
      </c>
      <c r="P69" s="215">
        <f>'1сел'!P38</f>
        <v>6466.3</v>
      </c>
      <c r="Q69" s="215">
        <f>'1сел'!Q38</f>
        <v>8500</v>
      </c>
      <c r="R69" s="215">
        <f>'1сел'!R38</f>
        <v>8500</v>
      </c>
      <c r="S69" s="215">
        <f>'1сел'!S38</f>
        <v>8500</v>
      </c>
      <c r="T69" s="215">
        <f>'1сел'!T38</f>
        <v>0</v>
      </c>
      <c r="U69" s="215">
        <f>'1сел'!U38</f>
        <v>0</v>
      </c>
      <c r="V69" s="215">
        <f>'1сел'!V38</f>
        <v>0</v>
      </c>
      <c r="W69" s="189">
        <f>SUM(B69:V69)</f>
        <v>106198</v>
      </c>
      <c r="X69" s="189">
        <f>NPV('1сел'!$X$1,B69:V69)</f>
        <v>82086.987473545305</v>
      </c>
    </row>
    <row r="70" spans="1:25" x14ac:dyDescent="0.25">
      <c r="A70" t="s">
        <v>321</v>
      </c>
      <c r="B70" s="215">
        <f>'3товар'!B26*1000</f>
        <v>0</v>
      </c>
      <c r="C70" s="215">
        <f>'3товар'!C26*1000</f>
        <v>0</v>
      </c>
      <c r="D70" s="215">
        <f>'3товар'!D26*1000</f>
        <v>0</v>
      </c>
      <c r="E70" s="215">
        <f>'3товар'!E26*1000</f>
        <v>0</v>
      </c>
      <c r="F70" s="215">
        <f>'3товар'!F26*1000</f>
        <v>0</v>
      </c>
      <c r="G70" s="215">
        <f>'3товар'!G26*1000</f>
        <v>0</v>
      </c>
      <c r="H70" s="215">
        <f>'3товар'!H26*1000</f>
        <v>0</v>
      </c>
      <c r="I70" s="215">
        <f>'3товар'!I26*1000</f>
        <v>0</v>
      </c>
      <c r="J70" s="215">
        <f>'3товар'!J26*1000</f>
        <v>0</v>
      </c>
      <c r="K70" s="215">
        <f>'3товар'!K26*1000</f>
        <v>51000</v>
      </c>
      <c r="L70" s="215">
        <f>'3товар'!L26*1000</f>
        <v>51000</v>
      </c>
      <c r="M70" s="215">
        <f>'3товар'!M26*1000</f>
        <v>51000</v>
      </c>
      <c r="N70" s="215">
        <f>'3товар'!N26*1000</f>
        <v>51000</v>
      </c>
      <c r="O70" s="215">
        <f>'3товар'!O26*1000</f>
        <v>51000</v>
      </c>
      <c r="P70" s="215">
        <f>'3товар'!P26*1000</f>
        <v>51000</v>
      </c>
      <c r="Q70" s="215">
        <f>'3товар'!Q26*1000</f>
        <v>51000</v>
      </c>
      <c r="R70" s="215">
        <f>'3товар'!R26*1000</f>
        <v>51000</v>
      </c>
      <c r="S70" s="215">
        <f>'3товар'!S26*1000</f>
        <v>51000</v>
      </c>
      <c r="T70" s="215">
        <f>'3товар'!T26*1000</f>
        <v>0</v>
      </c>
      <c r="U70" s="215">
        <f>'3товар'!U26*1000</f>
        <v>0</v>
      </c>
      <c r="V70" s="215">
        <f>'3товар'!V26*1000</f>
        <v>0</v>
      </c>
      <c r="W70" s="189">
        <f>SUM(B70:V70)</f>
        <v>459000</v>
      </c>
      <c r="X70" s="189">
        <f>NPV('1сел'!$X$1,B70:V70)</f>
        <v>348319.52181293961</v>
      </c>
    </row>
    <row r="71" spans="1:25" x14ac:dyDescent="0.25">
      <c r="A71" t="s">
        <v>322</v>
      </c>
      <c r="B71" s="215">
        <f>'2сем'!B38</f>
        <v>0</v>
      </c>
      <c r="C71" s="215">
        <f>'2сем'!C38</f>
        <v>0</v>
      </c>
      <c r="D71" s="215">
        <f>'2сем'!D38</f>
        <v>0</v>
      </c>
      <c r="E71" s="215">
        <f>'2сем'!E38</f>
        <v>0</v>
      </c>
      <c r="F71" s="215">
        <f>'2сем'!F38</f>
        <v>0</v>
      </c>
      <c r="G71" s="215">
        <f>'2сем'!G38</f>
        <v>0</v>
      </c>
      <c r="H71" s="215">
        <f>'2сем'!H38</f>
        <v>0</v>
      </c>
      <c r="I71" s="215">
        <f>'2сем'!I38</f>
        <v>-800.00000000000011</v>
      </c>
      <c r="J71" s="215">
        <f>'2сем'!J38</f>
        <v>1240</v>
      </c>
      <c r="K71" s="215">
        <f>'2сем'!K38</f>
        <v>0</v>
      </c>
      <c r="L71" s="215">
        <f>'2сем'!L38</f>
        <v>-800.00000000000011</v>
      </c>
      <c r="M71" s="215">
        <f>'2сем'!M38</f>
        <v>1240</v>
      </c>
      <c r="N71" s="215">
        <f>'2сем'!N38</f>
        <v>0</v>
      </c>
      <c r="O71" s="215">
        <f>'2сем'!O38</f>
        <v>-800.00000000000011</v>
      </c>
      <c r="P71" s="215">
        <f>'2сем'!P38</f>
        <v>1240</v>
      </c>
      <c r="Q71" s="215">
        <f>'2сем'!Q38</f>
        <v>0</v>
      </c>
      <c r="R71" s="215">
        <f>'2сем'!R38</f>
        <v>0</v>
      </c>
      <c r="S71" s="215">
        <f>'2сем'!S38</f>
        <v>0</v>
      </c>
      <c r="T71" s="215">
        <f>'2сем'!T38</f>
        <v>0</v>
      </c>
      <c r="U71" s="215">
        <f>'2сем'!U38</f>
        <v>0</v>
      </c>
      <c r="V71" s="215">
        <f>'2сем'!V38</f>
        <v>0</v>
      </c>
      <c r="W71" s="189">
        <f>SUM(B71:V71)</f>
        <v>1319.9999999999995</v>
      </c>
      <c r="X71" s="189">
        <f>NPV('1сел'!$X$1,B71:V71)</f>
        <v>1004.143584691761</v>
      </c>
    </row>
    <row r="72" spans="1:25" x14ac:dyDescent="0.25">
      <c r="A72" s="299" t="s">
        <v>325</v>
      </c>
      <c r="B72" s="419">
        <f>SUM(B64:B66)</f>
        <v>-447563.79281758534</v>
      </c>
      <c r="C72" s="215">
        <f t="shared" ref="C72:V72" si="29">SUM(C69:C71)</f>
        <v>1325</v>
      </c>
      <c r="D72" s="215">
        <f t="shared" si="29"/>
        <v>0</v>
      </c>
      <c r="E72" s="215">
        <f t="shared" si="29"/>
        <v>0</v>
      </c>
      <c r="F72" s="215">
        <f t="shared" si="29"/>
        <v>4341</v>
      </c>
      <c r="G72" s="215">
        <f t="shared" si="29"/>
        <v>4390.7</v>
      </c>
      <c r="H72" s="215">
        <f t="shared" si="29"/>
        <v>4397</v>
      </c>
      <c r="I72" s="215">
        <f t="shared" si="29"/>
        <v>3597</v>
      </c>
      <c r="J72" s="215">
        <f t="shared" si="29"/>
        <v>3597</v>
      </c>
      <c r="K72" s="215">
        <f t="shared" si="29"/>
        <v>63897</v>
      </c>
      <c r="L72" s="215">
        <f t="shared" si="29"/>
        <v>63097</v>
      </c>
      <c r="M72" s="215">
        <f t="shared" si="29"/>
        <v>63097</v>
      </c>
      <c r="N72" s="215">
        <f t="shared" si="29"/>
        <v>62988</v>
      </c>
      <c r="O72" s="215">
        <f t="shared" si="29"/>
        <v>62188</v>
      </c>
      <c r="P72" s="215">
        <f t="shared" si="29"/>
        <v>58706.3</v>
      </c>
      <c r="Q72" s="215">
        <f t="shared" si="29"/>
        <v>59500</v>
      </c>
      <c r="R72" s="215">
        <f t="shared" si="29"/>
        <v>59500</v>
      </c>
      <c r="S72" s="215">
        <f t="shared" si="29"/>
        <v>59500</v>
      </c>
      <c r="T72" s="215">
        <f t="shared" si="29"/>
        <v>0</v>
      </c>
      <c r="U72" s="215">
        <f t="shared" si="29"/>
        <v>0</v>
      </c>
      <c r="V72" s="215">
        <f t="shared" si="29"/>
        <v>0</v>
      </c>
      <c r="W72" s="189">
        <f>SUM(B72:V72)</f>
        <v>126557.20718241467</v>
      </c>
      <c r="X72" s="277">
        <f>NPV('1сел'!$X$1,B72:V72)</f>
        <v>76.542265700781542</v>
      </c>
    </row>
    <row r="73" spans="1:25" s="264" customFormat="1" ht="12.75" x14ac:dyDescent="0.2">
      <c r="A73" s="264" t="s">
        <v>326</v>
      </c>
      <c r="B73" s="266">
        <f>B67-B72</f>
        <v>0</v>
      </c>
      <c r="C73" s="266">
        <f t="shared" ref="C73:V73" si="30">C67-C72</f>
        <v>-112629.96296130185</v>
      </c>
      <c r="D73" s="266">
        <f t="shared" si="30"/>
        <v>-161208.96716824357</v>
      </c>
      <c r="E73" s="266">
        <f t="shared" si="30"/>
        <v>-161208.96716824357</v>
      </c>
      <c r="F73" s="266">
        <f t="shared" si="30"/>
        <v>-2053.1503664820652</v>
      </c>
      <c r="G73" s="266">
        <f t="shared" si="30"/>
        <v>-230.9794162292319</v>
      </c>
      <c r="H73" s="266">
        <f t="shared" si="30"/>
        <v>0</v>
      </c>
      <c r="I73" s="266">
        <f t="shared" si="30"/>
        <v>0</v>
      </c>
      <c r="J73" s="266">
        <f t="shared" si="30"/>
        <v>-74793.33477898952</v>
      </c>
      <c r="K73" s="266">
        <f t="shared" si="30"/>
        <v>0</v>
      </c>
      <c r="L73" s="266">
        <f t="shared" si="30"/>
        <v>0</v>
      </c>
      <c r="M73" s="266">
        <f t="shared" si="30"/>
        <v>-74793.33477898952</v>
      </c>
      <c r="N73" s="266">
        <f t="shared" si="30"/>
        <v>0</v>
      </c>
      <c r="O73" s="266">
        <f t="shared" si="30"/>
        <v>0</v>
      </c>
      <c r="P73" s="266">
        <f t="shared" si="30"/>
        <v>-74793.33477898952</v>
      </c>
      <c r="Q73" s="266">
        <f t="shared" si="30"/>
        <v>0</v>
      </c>
      <c r="R73" s="266">
        <f t="shared" si="30"/>
        <v>0</v>
      </c>
      <c r="S73" s="266">
        <f t="shared" si="30"/>
        <v>-74793.33477898952</v>
      </c>
      <c r="T73" s="266">
        <f t="shared" si="30"/>
        <v>0</v>
      </c>
      <c r="U73" s="266">
        <f t="shared" si="30"/>
        <v>0</v>
      </c>
      <c r="V73" s="266">
        <f t="shared" si="30"/>
        <v>0</v>
      </c>
      <c r="W73" s="265"/>
      <c r="X73" s="265"/>
      <c r="Y73" s="265"/>
    </row>
    <row r="74" spans="1:25" s="72" customFormat="1" ht="11.25" x14ac:dyDescent="0.2">
      <c r="A74" s="72" t="s">
        <v>350</v>
      </c>
      <c r="B74" s="288">
        <f>(1+'1сел'!$X$1)^B$2</f>
        <v>1.02</v>
      </c>
      <c r="C74" s="288">
        <f>(1+'1сел'!$X$1)^C$2</f>
        <v>1.0404</v>
      </c>
      <c r="D74" s="288">
        <f>(1+'1сел'!$X$1)^D$2</f>
        <v>1.0612079999999999</v>
      </c>
      <c r="E74" s="288">
        <f>(1+'1сел'!$X$1)^E$2</f>
        <v>1.08243216</v>
      </c>
      <c r="F74" s="288">
        <f>(1+'1сел'!$X$1)^F$2</f>
        <v>1.1040808032</v>
      </c>
      <c r="G74" s="288">
        <f>(1+'1сел'!$X$1)^G$2</f>
        <v>1.1261624192640001</v>
      </c>
      <c r="H74" s="288">
        <f>(1+'1сел'!$X$1)^H$2</f>
        <v>1.1486856676492798</v>
      </c>
      <c r="I74" s="288">
        <f>(1+'1сел'!$X$1)^I$2</f>
        <v>1.1716593810022655</v>
      </c>
      <c r="J74" s="288">
        <f>(1+'1сел'!$X$1)^J$2</f>
        <v>1.1950925686223108</v>
      </c>
      <c r="K74" s="288">
        <f>(1+'1сел'!$X$1)^K$2</f>
        <v>1.2189944199947571</v>
      </c>
      <c r="L74" s="288">
        <f>(1+'1сел'!$X$1)^L$2</f>
        <v>1.243374308394652</v>
      </c>
      <c r="M74" s="288">
        <f>(1+'1сел'!$X$1)^M$2</f>
        <v>1.2682417945625453</v>
      </c>
      <c r="N74" s="288">
        <f>(1+'1сел'!$X$1)^N$2</f>
        <v>1.2936066304537961</v>
      </c>
      <c r="O74" s="288">
        <f>(1+'1сел'!$X$1)^O$2</f>
        <v>1.3194787630628722</v>
      </c>
      <c r="P74" s="288">
        <f>(1+'1сел'!$X$1)^P$2</f>
        <v>1.3458683383241292</v>
      </c>
      <c r="Q74" s="288">
        <f>(1+'1сел'!$X$1)^Q$2</f>
        <v>1.372785705090612</v>
      </c>
      <c r="R74" s="288">
        <f>(1+'1сел'!$X$1)^R$2</f>
        <v>1.4002414191924244</v>
      </c>
      <c r="S74" s="288">
        <f>(1+'1сел'!$X$1)^S$2</f>
        <v>1.4282462475762727</v>
      </c>
      <c r="T74" s="288">
        <f>(1+'1сел'!$X$1)^T$2</f>
        <v>1.4568111725277981</v>
      </c>
      <c r="U74" s="288">
        <f>(1+'1сел'!$X$1)^U$2</f>
        <v>1.4859473959783542</v>
      </c>
      <c r="V74" s="288">
        <f>(1+'1сел'!$X$1)^V$2</f>
        <v>1.5156663438979212</v>
      </c>
      <c r="W74" s="287"/>
      <c r="X74" s="287"/>
      <c r="Y74" s="287"/>
    </row>
    <row r="75" spans="1:25" s="264" customFormat="1" ht="12.75" x14ac:dyDescent="0.2">
      <c r="A75" s="285" t="s">
        <v>348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5"/>
      <c r="X75" s="265"/>
      <c r="Y75" s="265"/>
    </row>
    <row r="76" spans="1:25" s="264" customFormat="1" ht="18.75" x14ac:dyDescent="0.3">
      <c r="A76" s="264" t="str">
        <f>A69</f>
        <v>Селекционера</v>
      </c>
      <c r="B76" s="289">
        <f>B64/B$74</f>
        <v>-438788.03217410325</v>
      </c>
      <c r="C76" s="289">
        <f t="shared" ref="C76:V78" si="31">C64/C$74</f>
        <v>-106982.8555952536</v>
      </c>
      <c r="D76" s="289">
        <f t="shared" si="31"/>
        <v>-151910.81029189716</v>
      </c>
      <c r="E76" s="289">
        <f t="shared" si="31"/>
        <v>-148932.16695284034</v>
      </c>
      <c r="F76" s="289">
        <f t="shared" si="31"/>
        <v>2072.1759013352753</v>
      </c>
      <c r="G76" s="289">
        <f t="shared" si="31"/>
        <v>3693.7128362792823</v>
      </c>
      <c r="H76" s="289">
        <f t="shared" si="31"/>
        <v>3827.8531053653796</v>
      </c>
      <c r="I76" s="289">
        <f t="shared" si="31"/>
        <v>3752.7971621229208</v>
      </c>
      <c r="J76" s="289">
        <f t="shared" si="31"/>
        <v>-60611.484566834268</v>
      </c>
      <c r="K76" s="289">
        <f t="shared" si="31"/>
        <v>10580.032023489877</v>
      </c>
      <c r="L76" s="289">
        <f t="shared" si="31"/>
        <v>10372.580415186158</v>
      </c>
      <c r="M76" s="289">
        <f t="shared" si="31"/>
        <v>-50413.363644937344</v>
      </c>
      <c r="N76" s="289">
        <f t="shared" si="31"/>
        <v>9267.1139106597038</v>
      </c>
      <c r="O76" s="289">
        <f t="shared" si="31"/>
        <v>9085.4057947644142</v>
      </c>
      <c r="P76" s="289">
        <f t="shared" si="31"/>
        <v>-50767.993297227062</v>
      </c>
      <c r="Q76" s="289">
        <f t="shared" si="31"/>
        <v>6191.7894165709931</v>
      </c>
      <c r="R76" s="289">
        <f t="shared" si="31"/>
        <v>6070.3817809519533</v>
      </c>
      <c r="S76" s="289">
        <f t="shared" si="31"/>
        <v>-46415.899843244122</v>
      </c>
      <c r="T76" s="289">
        <f t="shared" si="31"/>
        <v>0</v>
      </c>
      <c r="U76" s="289">
        <f t="shared" si="31"/>
        <v>0</v>
      </c>
      <c r="V76" s="289">
        <f t="shared" si="31"/>
        <v>0</v>
      </c>
      <c r="W76" s="304">
        <f>SUM(B76:V76)</f>
        <v>-989908.76401961129</v>
      </c>
      <c r="X76" s="265"/>
      <c r="Y76" s="265"/>
    </row>
    <row r="77" spans="1:25" s="264" customFormat="1" ht="18.75" x14ac:dyDescent="0.3">
      <c r="A77" s="264" t="str">
        <f>A70</f>
        <v>Товарное производство</v>
      </c>
      <c r="B77" s="289">
        <f>B65/B$74</f>
        <v>0</v>
      </c>
      <c r="C77" s="289">
        <f t="shared" si="31"/>
        <v>0</v>
      </c>
      <c r="D77" s="289">
        <f t="shared" si="31"/>
        <v>0</v>
      </c>
      <c r="E77" s="289">
        <f t="shared" si="31"/>
        <v>0</v>
      </c>
      <c r="F77" s="289">
        <f t="shared" si="31"/>
        <v>0</v>
      </c>
      <c r="G77" s="289">
        <f t="shared" si="31"/>
        <v>0</v>
      </c>
      <c r="H77" s="289">
        <f t="shared" si="31"/>
        <v>0</v>
      </c>
      <c r="I77" s="289">
        <f t="shared" si="31"/>
        <v>0</v>
      </c>
      <c r="J77" s="289">
        <f t="shared" si="31"/>
        <v>0</v>
      </c>
      <c r="K77" s="289">
        <f t="shared" si="31"/>
        <v>41837.763293632917</v>
      </c>
      <c r="L77" s="289">
        <f t="shared" si="31"/>
        <v>41017.414993757775</v>
      </c>
      <c r="M77" s="289">
        <f t="shared" si="31"/>
        <v>40213.151954664478</v>
      </c>
      <c r="N77" s="289">
        <f t="shared" si="31"/>
        <v>39424.65877908282</v>
      </c>
      <c r="O77" s="289">
        <f t="shared" si="31"/>
        <v>38651.62625400276</v>
      </c>
      <c r="P77" s="289">
        <f t="shared" si="31"/>
        <v>37893.751229414484</v>
      </c>
      <c r="Q77" s="289">
        <f t="shared" si="31"/>
        <v>37150.736499425955</v>
      </c>
      <c r="R77" s="289">
        <f t="shared" si="31"/>
        <v>36422.29068571172</v>
      </c>
      <c r="S77" s="289">
        <f t="shared" si="31"/>
        <v>35708.128123246788</v>
      </c>
      <c r="T77" s="289">
        <f t="shared" si="31"/>
        <v>0</v>
      </c>
      <c r="U77" s="289">
        <f t="shared" si="31"/>
        <v>0</v>
      </c>
      <c r="V77" s="289">
        <f t="shared" si="31"/>
        <v>0</v>
      </c>
      <c r="W77" s="304">
        <f>SUM(B77:V77)</f>
        <v>348319.52181293967</v>
      </c>
      <c r="X77" s="265"/>
      <c r="Y77" s="265"/>
    </row>
    <row r="78" spans="1:25" s="264" customFormat="1" ht="18.75" x14ac:dyDescent="0.3">
      <c r="A78" s="264" t="str">
        <f>A71</f>
        <v>Семеноводство</v>
      </c>
      <c r="B78" s="289">
        <f>B66/B$74</f>
        <v>0</v>
      </c>
      <c r="C78" s="289">
        <f t="shared" si="31"/>
        <v>0</v>
      </c>
      <c r="D78" s="289">
        <f t="shared" si="31"/>
        <v>0</v>
      </c>
      <c r="E78" s="289">
        <f t="shared" si="31"/>
        <v>0</v>
      </c>
      <c r="F78" s="289">
        <f t="shared" si="31"/>
        <v>0</v>
      </c>
      <c r="G78" s="289">
        <f t="shared" si="31"/>
        <v>0</v>
      </c>
      <c r="H78" s="289">
        <f t="shared" si="31"/>
        <v>0</v>
      </c>
      <c r="I78" s="289">
        <f t="shared" si="31"/>
        <v>-682.79229695208937</v>
      </c>
      <c r="J78" s="289">
        <f t="shared" si="31"/>
        <v>1037.5765296820964</v>
      </c>
      <c r="K78" s="289">
        <f t="shared" si="31"/>
        <v>0</v>
      </c>
      <c r="L78" s="289">
        <f t="shared" si="31"/>
        <v>-643.41043127463183</v>
      </c>
      <c r="M78" s="289">
        <f t="shared" si="31"/>
        <v>977.73153772125397</v>
      </c>
      <c r="N78" s="289">
        <f t="shared" si="31"/>
        <v>0</v>
      </c>
      <c r="O78" s="289">
        <f t="shared" si="31"/>
        <v>-606.30001967063163</v>
      </c>
      <c r="P78" s="289">
        <f t="shared" si="31"/>
        <v>921.33826518576393</v>
      </c>
      <c r="Q78" s="289">
        <f t="shared" si="31"/>
        <v>0</v>
      </c>
      <c r="R78" s="289">
        <f t="shared" si="31"/>
        <v>0</v>
      </c>
      <c r="S78" s="289">
        <f t="shared" si="31"/>
        <v>0</v>
      </c>
      <c r="T78" s="289">
        <f t="shared" si="31"/>
        <v>0</v>
      </c>
      <c r="U78" s="289">
        <f t="shared" si="31"/>
        <v>0</v>
      </c>
      <c r="V78" s="289">
        <f t="shared" si="31"/>
        <v>0</v>
      </c>
      <c r="W78" s="304">
        <f>SUM(B78:V78)</f>
        <v>1004.1435846917615</v>
      </c>
      <c r="X78" s="265"/>
      <c r="Y78" s="265"/>
    </row>
    <row r="79" spans="1:25" s="264" customFormat="1" ht="18.75" x14ac:dyDescent="0.3">
      <c r="A79" s="264" t="str">
        <f>A72</f>
        <v>Сумма приростов по табл.</v>
      </c>
      <c r="B79" s="289">
        <f t="shared" ref="B79:V79" si="32">B72/B$74</f>
        <v>-438788.03217410325</v>
      </c>
      <c r="C79" s="289">
        <f t="shared" si="32"/>
        <v>1273.5486351403306</v>
      </c>
      <c r="D79" s="289">
        <f t="shared" si="32"/>
        <v>0</v>
      </c>
      <c r="E79" s="289">
        <f t="shared" si="32"/>
        <v>0</v>
      </c>
      <c r="F79" s="289">
        <f t="shared" si="32"/>
        <v>3931.777445471665</v>
      </c>
      <c r="G79" s="289">
        <f t="shared" si="32"/>
        <v>3898.8159477649128</v>
      </c>
      <c r="H79" s="289">
        <f t="shared" si="32"/>
        <v>3827.8531053653796</v>
      </c>
      <c r="I79" s="289">
        <f t="shared" si="32"/>
        <v>3070.0048651708316</v>
      </c>
      <c r="J79" s="289">
        <f t="shared" si="32"/>
        <v>3009.8086913439524</v>
      </c>
      <c r="K79" s="289">
        <f t="shared" si="32"/>
        <v>52417.7953171228</v>
      </c>
      <c r="L79" s="289">
        <f t="shared" si="32"/>
        <v>50746.584977669299</v>
      </c>
      <c r="M79" s="289">
        <f t="shared" si="32"/>
        <v>49751.553899675775</v>
      </c>
      <c r="N79" s="289">
        <f t="shared" si="32"/>
        <v>48691.772689742524</v>
      </c>
      <c r="O79" s="289">
        <f t="shared" si="32"/>
        <v>47130.732029096544</v>
      </c>
      <c r="P79" s="289">
        <f t="shared" si="32"/>
        <v>43619.645643125012</v>
      </c>
      <c r="Q79" s="289">
        <f t="shared" si="32"/>
        <v>43342.52591599695</v>
      </c>
      <c r="R79" s="289">
        <f t="shared" si="32"/>
        <v>42492.672466663673</v>
      </c>
      <c r="S79" s="289">
        <f t="shared" si="32"/>
        <v>41659.482810454589</v>
      </c>
      <c r="T79" s="289">
        <f t="shared" si="32"/>
        <v>0</v>
      </c>
      <c r="U79" s="289">
        <f t="shared" si="32"/>
        <v>0</v>
      </c>
      <c r="V79" s="289">
        <f t="shared" si="32"/>
        <v>0</v>
      </c>
      <c r="W79" s="305">
        <f>SUM(B79:V79)</f>
        <v>76.542265700903954</v>
      </c>
      <c r="X79" s="265"/>
      <c r="Y79" s="265"/>
    </row>
    <row r="80" spans="1:25" s="285" customFormat="1" ht="12.75" x14ac:dyDescent="0.2">
      <c r="A80" s="285" t="s">
        <v>349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</row>
    <row r="81" spans="1:26" s="264" customFormat="1" ht="12.75" x14ac:dyDescent="0.2">
      <c r="A81" s="264" t="str">
        <f>A76</f>
        <v>Селекционера</v>
      </c>
      <c r="B81" s="289">
        <f>B76</f>
        <v>-438788.03217410325</v>
      </c>
      <c r="C81" s="289">
        <f>B81+C76</f>
        <v>-545770.88776935684</v>
      </c>
      <c r="D81" s="289">
        <f t="shared" ref="D81:V84" si="33">C81+D76</f>
        <v>-697681.69806125399</v>
      </c>
      <c r="E81" s="289">
        <f t="shared" si="33"/>
        <v>-846613.86501409439</v>
      </c>
      <c r="F81" s="289">
        <f t="shared" si="33"/>
        <v>-844541.68911275908</v>
      </c>
      <c r="G81" s="289">
        <f t="shared" si="33"/>
        <v>-840847.97627647978</v>
      </c>
      <c r="H81" s="289">
        <f t="shared" si="33"/>
        <v>-837020.12317111436</v>
      </c>
      <c r="I81" s="289">
        <f t="shared" si="33"/>
        <v>-833267.32600899145</v>
      </c>
      <c r="J81" s="289">
        <f t="shared" si="33"/>
        <v>-893878.81057582574</v>
      </c>
      <c r="K81" s="289">
        <f t="shared" si="33"/>
        <v>-883298.77855233592</v>
      </c>
      <c r="L81" s="289">
        <f t="shared" si="33"/>
        <v>-872926.1981371498</v>
      </c>
      <c r="M81" s="289">
        <f t="shared" si="33"/>
        <v>-923339.5617820872</v>
      </c>
      <c r="N81" s="289">
        <f t="shared" si="33"/>
        <v>-914072.44787142752</v>
      </c>
      <c r="O81" s="289">
        <f t="shared" si="33"/>
        <v>-904987.04207666311</v>
      </c>
      <c r="P81" s="289">
        <f t="shared" si="33"/>
        <v>-955755.03537389019</v>
      </c>
      <c r="Q81" s="289">
        <f t="shared" si="33"/>
        <v>-949563.24595731916</v>
      </c>
      <c r="R81" s="289">
        <f t="shared" si="33"/>
        <v>-943492.86417636718</v>
      </c>
      <c r="S81" s="289">
        <f t="shared" si="33"/>
        <v>-989908.76401961129</v>
      </c>
      <c r="T81" s="289">
        <f t="shared" si="33"/>
        <v>-989908.76401961129</v>
      </c>
      <c r="U81" s="289">
        <f t="shared" si="33"/>
        <v>-989908.76401961129</v>
      </c>
      <c r="V81" s="289">
        <f t="shared" si="33"/>
        <v>-989908.76401961129</v>
      </c>
      <c r="W81" s="265"/>
      <c r="X81" s="265"/>
      <c r="Y81" s="265"/>
    </row>
    <row r="82" spans="1:26" s="264" customFormat="1" ht="12.75" x14ac:dyDescent="0.2">
      <c r="A82" s="264" t="str">
        <f t="shared" ref="A82:B84" si="34">A77</f>
        <v>Товарное производство</v>
      </c>
      <c r="B82" s="289">
        <f t="shared" si="34"/>
        <v>0</v>
      </c>
      <c r="C82" s="289">
        <f>B82+C77</f>
        <v>0</v>
      </c>
      <c r="D82" s="289">
        <f t="shared" ref="D82:R82" si="35">C82+D77</f>
        <v>0</v>
      </c>
      <c r="E82" s="289">
        <f t="shared" si="35"/>
        <v>0</v>
      </c>
      <c r="F82" s="289">
        <f t="shared" si="35"/>
        <v>0</v>
      </c>
      <c r="G82" s="289">
        <f t="shared" si="35"/>
        <v>0</v>
      </c>
      <c r="H82" s="289">
        <f t="shared" si="35"/>
        <v>0</v>
      </c>
      <c r="I82" s="289">
        <f t="shared" si="35"/>
        <v>0</v>
      </c>
      <c r="J82" s="289">
        <f t="shared" si="35"/>
        <v>0</v>
      </c>
      <c r="K82" s="289">
        <f t="shared" si="35"/>
        <v>41837.763293632917</v>
      </c>
      <c r="L82" s="289">
        <f t="shared" si="35"/>
        <v>82855.178287390692</v>
      </c>
      <c r="M82" s="289">
        <f t="shared" si="35"/>
        <v>123068.33024205518</v>
      </c>
      <c r="N82" s="289">
        <f t="shared" si="35"/>
        <v>162492.989021138</v>
      </c>
      <c r="O82" s="289">
        <f t="shared" si="35"/>
        <v>201144.61527514076</v>
      </c>
      <c r="P82" s="289">
        <f t="shared" si="35"/>
        <v>239038.36650455525</v>
      </c>
      <c r="Q82" s="289">
        <f t="shared" si="35"/>
        <v>276189.10300398117</v>
      </c>
      <c r="R82" s="289">
        <f t="shared" si="35"/>
        <v>312611.39368969289</v>
      </c>
      <c r="S82" s="289">
        <f t="shared" si="33"/>
        <v>348319.52181293967</v>
      </c>
      <c r="T82" s="289">
        <f t="shared" si="33"/>
        <v>348319.52181293967</v>
      </c>
      <c r="U82" s="289">
        <f t="shared" si="33"/>
        <v>348319.52181293967</v>
      </c>
      <c r="V82" s="289">
        <f t="shared" si="33"/>
        <v>348319.52181293967</v>
      </c>
      <c r="W82" s="265"/>
      <c r="X82" s="265"/>
      <c r="Y82" s="265"/>
    </row>
    <row r="83" spans="1:26" s="264" customFormat="1" ht="12.75" x14ac:dyDescent="0.2">
      <c r="A83" s="264" t="str">
        <f t="shared" si="34"/>
        <v>Семеноводство</v>
      </c>
      <c r="B83" s="289">
        <f t="shared" si="34"/>
        <v>0</v>
      </c>
      <c r="C83" s="289">
        <f>B83+C78</f>
        <v>0</v>
      </c>
      <c r="D83" s="289">
        <f t="shared" si="33"/>
        <v>0</v>
      </c>
      <c r="E83" s="289">
        <f t="shared" si="33"/>
        <v>0</v>
      </c>
      <c r="F83" s="289">
        <f t="shared" si="33"/>
        <v>0</v>
      </c>
      <c r="G83" s="289">
        <f t="shared" si="33"/>
        <v>0</v>
      </c>
      <c r="H83" s="289">
        <f t="shared" si="33"/>
        <v>0</v>
      </c>
      <c r="I83" s="289">
        <f t="shared" si="33"/>
        <v>-682.79229695208937</v>
      </c>
      <c r="J83" s="289">
        <f t="shared" si="33"/>
        <v>354.78423273000703</v>
      </c>
      <c r="K83" s="289">
        <f t="shared" si="33"/>
        <v>354.78423273000703</v>
      </c>
      <c r="L83" s="289">
        <f t="shared" si="33"/>
        <v>-288.6261985446248</v>
      </c>
      <c r="M83" s="289">
        <f t="shared" si="33"/>
        <v>689.10533917662917</v>
      </c>
      <c r="N83" s="289">
        <f t="shared" si="33"/>
        <v>689.10533917662917</v>
      </c>
      <c r="O83" s="289">
        <f t="shared" si="33"/>
        <v>82.805319505997545</v>
      </c>
      <c r="P83" s="289">
        <f t="shared" si="33"/>
        <v>1004.1435846917615</v>
      </c>
      <c r="Q83" s="289">
        <f t="shared" si="33"/>
        <v>1004.1435846917615</v>
      </c>
      <c r="R83" s="289">
        <f t="shared" si="33"/>
        <v>1004.1435846917615</v>
      </c>
      <c r="S83" s="289">
        <f t="shared" si="33"/>
        <v>1004.1435846917615</v>
      </c>
      <c r="T83" s="289">
        <f t="shared" si="33"/>
        <v>1004.1435846917615</v>
      </c>
      <c r="U83" s="289">
        <f t="shared" si="33"/>
        <v>1004.1435846917615</v>
      </c>
      <c r="V83" s="289">
        <f t="shared" si="33"/>
        <v>1004.1435846917615</v>
      </c>
      <c r="W83" s="265"/>
      <c r="X83" s="265"/>
      <c r="Y83" s="265"/>
    </row>
    <row r="84" spans="1:26" s="264" customFormat="1" ht="12.75" x14ac:dyDescent="0.2">
      <c r="A84" s="264" t="str">
        <f t="shared" si="34"/>
        <v>Сумма приростов по табл.</v>
      </c>
      <c r="B84" s="289">
        <f t="shared" si="34"/>
        <v>-438788.03217410325</v>
      </c>
      <c r="C84" s="289">
        <f>B84+C79</f>
        <v>-437514.4835389629</v>
      </c>
      <c r="D84" s="289">
        <f t="shared" si="33"/>
        <v>-437514.4835389629</v>
      </c>
      <c r="E84" s="289">
        <f t="shared" si="33"/>
        <v>-437514.4835389629</v>
      </c>
      <c r="F84" s="289">
        <f t="shared" si="33"/>
        <v>-433582.70609349123</v>
      </c>
      <c r="G84" s="289">
        <f t="shared" si="33"/>
        <v>-429683.89014572633</v>
      </c>
      <c r="H84" s="289">
        <f t="shared" si="33"/>
        <v>-425856.03704036097</v>
      </c>
      <c r="I84" s="289">
        <f t="shared" si="33"/>
        <v>-422786.03217519016</v>
      </c>
      <c r="J84" s="289">
        <f t="shared" si="33"/>
        <v>-419776.22348384623</v>
      </c>
      <c r="K84" s="289">
        <f t="shared" si="33"/>
        <v>-367358.42816672346</v>
      </c>
      <c r="L84" s="289">
        <f t="shared" si="33"/>
        <v>-316611.84318905417</v>
      </c>
      <c r="M84" s="289">
        <f t="shared" si="33"/>
        <v>-266860.28928937839</v>
      </c>
      <c r="N84" s="289">
        <f t="shared" si="33"/>
        <v>-218168.51659963586</v>
      </c>
      <c r="O84" s="289">
        <f t="shared" si="33"/>
        <v>-171037.78457053931</v>
      </c>
      <c r="P84" s="289">
        <f t="shared" si="33"/>
        <v>-127418.1389274143</v>
      </c>
      <c r="Q84" s="289">
        <f t="shared" si="33"/>
        <v>-84075.613011417357</v>
      </c>
      <c r="R84" s="289">
        <f t="shared" si="33"/>
        <v>-41582.940544753685</v>
      </c>
      <c r="S84" s="289">
        <f t="shared" si="33"/>
        <v>76.542265700903954</v>
      </c>
      <c r="T84" s="289">
        <f t="shared" si="33"/>
        <v>76.542265700903954</v>
      </c>
      <c r="U84" s="289">
        <f t="shared" si="33"/>
        <v>76.542265700903954</v>
      </c>
      <c r="V84" s="289">
        <f t="shared" si="33"/>
        <v>76.542265700903954</v>
      </c>
      <c r="W84" s="265"/>
      <c r="X84" s="265"/>
      <c r="Y84" s="265"/>
    </row>
    <row r="85" spans="1:26" s="188" customFormat="1" x14ac:dyDescent="0.25">
      <c r="A85" s="188" t="s">
        <v>351</v>
      </c>
      <c r="B85" s="47"/>
      <c r="C85" s="47"/>
      <c r="D85" s="47"/>
      <c r="E85" s="47"/>
      <c r="F85" s="198"/>
      <c r="I85" s="198"/>
      <c r="N85" s="198"/>
    </row>
    <row r="86" spans="1:26" x14ac:dyDescent="0.25">
      <c r="A86" t="str">
        <f>A64</f>
        <v>Селекционера</v>
      </c>
      <c r="B86" s="64">
        <f>IF(AND(B81&lt;0,C81&gt;0),B$2+(-B81/(-B81+C81)),0)</f>
        <v>0</v>
      </c>
      <c r="C86" s="64">
        <f t="shared" ref="C86:S89" si="36">IF(AND(C81&lt;0,D81&gt;0),C$2+(-C81/(-C81+D81)),0)</f>
        <v>0</v>
      </c>
      <c r="D86" s="64">
        <f t="shared" si="36"/>
        <v>0</v>
      </c>
      <c r="E86" s="64">
        <f t="shared" si="36"/>
        <v>0</v>
      </c>
      <c r="F86" s="64">
        <f t="shared" si="36"/>
        <v>0</v>
      </c>
      <c r="G86" s="64">
        <f t="shared" si="36"/>
        <v>0</v>
      </c>
      <c r="H86" s="64">
        <f t="shared" si="36"/>
        <v>0</v>
      </c>
      <c r="I86" s="64">
        <f t="shared" si="36"/>
        <v>0</v>
      </c>
      <c r="J86" s="64">
        <f t="shared" si="36"/>
        <v>0</v>
      </c>
      <c r="K86" s="64">
        <f t="shared" si="36"/>
        <v>0</v>
      </c>
      <c r="L86" s="64">
        <f t="shared" si="36"/>
        <v>0</v>
      </c>
      <c r="M86" s="64">
        <f t="shared" si="36"/>
        <v>0</v>
      </c>
      <c r="N86" s="64">
        <f t="shared" si="36"/>
        <v>0</v>
      </c>
      <c r="O86" s="64">
        <f t="shared" si="36"/>
        <v>0</v>
      </c>
      <c r="P86" s="64">
        <f t="shared" si="36"/>
        <v>0</v>
      </c>
      <c r="Q86" s="64">
        <f t="shared" si="36"/>
        <v>0</v>
      </c>
      <c r="R86" s="64">
        <f t="shared" si="36"/>
        <v>0</v>
      </c>
      <c r="S86" s="64">
        <f t="shared" si="36"/>
        <v>0</v>
      </c>
      <c r="T86" s="64">
        <f t="shared" ref="T86:V89" si="37">IF(AND(T81&lt;0,V81&gt;0),T$2+(-T81/(-T81+V81)),0)</f>
        <v>0</v>
      </c>
      <c r="U86" s="64">
        <f t="shared" si="37"/>
        <v>0</v>
      </c>
      <c r="V86" s="64">
        <f t="shared" si="37"/>
        <v>0</v>
      </c>
      <c r="W86" s="279" t="s">
        <v>346</v>
      </c>
      <c r="X86" s="280">
        <f>MAX(B86:V86)</f>
        <v>0</v>
      </c>
      <c r="Y86" s="588" t="s">
        <v>370</v>
      </c>
      <c r="Z86" s="588"/>
    </row>
    <row r="87" spans="1:26" x14ac:dyDescent="0.25">
      <c r="A87" t="str">
        <f>A65</f>
        <v>Товарное производство</v>
      </c>
      <c r="B87" s="64">
        <f>IF(AND(B82&lt;0,C82&gt;0),B$2+(-B82/(-B82+C82)),0)</f>
        <v>0</v>
      </c>
      <c r="C87" s="64">
        <f t="shared" ref="C87:Q87" si="38">IF(AND(C82&lt;0,D82&gt;0),C$2+(-C82/(-C82+D82)),0)</f>
        <v>0</v>
      </c>
      <c r="D87" s="64">
        <f t="shared" si="38"/>
        <v>0</v>
      </c>
      <c r="E87" s="64">
        <f t="shared" si="38"/>
        <v>0</v>
      </c>
      <c r="F87" s="64">
        <f t="shared" si="38"/>
        <v>0</v>
      </c>
      <c r="G87" s="64">
        <f t="shared" si="38"/>
        <v>0</v>
      </c>
      <c r="H87" s="64">
        <f t="shared" si="38"/>
        <v>0</v>
      </c>
      <c r="I87" s="64">
        <f t="shared" si="38"/>
        <v>0</v>
      </c>
      <c r="J87" s="64">
        <f t="shared" si="38"/>
        <v>0</v>
      </c>
      <c r="K87" s="64">
        <f t="shared" si="38"/>
        <v>0</v>
      </c>
      <c r="L87" s="64">
        <f t="shared" si="38"/>
        <v>0</v>
      </c>
      <c r="M87" s="64">
        <f t="shared" si="38"/>
        <v>0</v>
      </c>
      <c r="N87" s="64">
        <f t="shared" si="38"/>
        <v>0</v>
      </c>
      <c r="O87" s="64">
        <f t="shared" si="38"/>
        <v>0</v>
      </c>
      <c r="P87" s="64">
        <f t="shared" si="38"/>
        <v>0</v>
      </c>
      <c r="Q87" s="64">
        <f t="shared" si="38"/>
        <v>0</v>
      </c>
      <c r="R87" s="64">
        <f t="shared" si="36"/>
        <v>0</v>
      </c>
      <c r="S87" s="64">
        <f t="shared" si="36"/>
        <v>0</v>
      </c>
      <c r="T87" s="64">
        <f t="shared" si="37"/>
        <v>0</v>
      </c>
      <c r="U87" s="64">
        <f t="shared" si="37"/>
        <v>0</v>
      </c>
      <c r="V87" s="64">
        <f t="shared" si="37"/>
        <v>0</v>
      </c>
      <c r="W87" s="279" t="s">
        <v>346</v>
      </c>
      <c r="X87" s="280">
        <f>MAX(B87:V87)</f>
        <v>0</v>
      </c>
      <c r="Y87" s="588"/>
      <c r="Z87" s="588"/>
    </row>
    <row r="88" spans="1:26" x14ac:dyDescent="0.25">
      <c r="A88" t="str">
        <f>A66</f>
        <v>Семеноводство</v>
      </c>
      <c r="B88" s="64">
        <f>IF(AND(B83&lt;0,C83&gt;0),B$2+(-B83/(-B83+C83)),0)</f>
        <v>0</v>
      </c>
      <c r="C88" s="64">
        <f t="shared" si="36"/>
        <v>0</v>
      </c>
      <c r="D88" s="64">
        <f t="shared" si="36"/>
        <v>0</v>
      </c>
      <c r="E88" s="64">
        <f t="shared" si="36"/>
        <v>0</v>
      </c>
      <c r="F88" s="64">
        <f t="shared" si="36"/>
        <v>0</v>
      </c>
      <c r="G88" s="64">
        <f t="shared" si="36"/>
        <v>0</v>
      </c>
      <c r="H88" s="64">
        <f t="shared" si="36"/>
        <v>0</v>
      </c>
      <c r="I88" s="64">
        <f t="shared" si="36"/>
        <v>8.6580645161290324</v>
      </c>
      <c r="J88" s="64">
        <f t="shared" si="36"/>
        <v>0</v>
      </c>
      <c r="K88" s="64">
        <f t="shared" si="36"/>
        <v>0</v>
      </c>
      <c r="L88" s="64">
        <f t="shared" si="36"/>
        <v>11.29519984516129</v>
      </c>
      <c r="M88" s="64">
        <f t="shared" si="36"/>
        <v>0</v>
      </c>
      <c r="N88" s="64">
        <f t="shared" si="36"/>
        <v>0</v>
      </c>
      <c r="O88" s="64">
        <f t="shared" si="36"/>
        <v>0</v>
      </c>
      <c r="P88" s="64">
        <f t="shared" si="36"/>
        <v>0</v>
      </c>
      <c r="Q88" s="64">
        <f t="shared" si="36"/>
        <v>0</v>
      </c>
      <c r="R88" s="64">
        <f t="shared" si="36"/>
        <v>0</v>
      </c>
      <c r="S88" s="64">
        <f t="shared" si="36"/>
        <v>0</v>
      </c>
      <c r="T88" s="64">
        <f t="shared" si="37"/>
        <v>0</v>
      </c>
      <c r="U88" s="64">
        <f t="shared" si="37"/>
        <v>0</v>
      </c>
      <c r="V88" s="64">
        <f t="shared" si="37"/>
        <v>0</v>
      </c>
      <c r="W88" s="279" t="s">
        <v>346</v>
      </c>
      <c r="X88" s="290">
        <f>MAX(B88:V88)</f>
        <v>11.29519984516129</v>
      </c>
      <c r="Y88" s="588"/>
      <c r="Z88" s="588"/>
    </row>
    <row r="89" spans="1:26" x14ac:dyDescent="0.25">
      <c r="A89" t="s">
        <v>327</v>
      </c>
      <c r="B89" s="64">
        <f>IF(AND(B84&lt;0,C84&gt;0),B$2+(-B84/(-B84+C84)),0)</f>
        <v>0</v>
      </c>
      <c r="C89" s="64">
        <f t="shared" si="36"/>
        <v>0</v>
      </c>
      <c r="D89" s="64">
        <f t="shared" si="36"/>
        <v>0</v>
      </c>
      <c r="E89" s="64">
        <f t="shared" si="36"/>
        <v>0</v>
      </c>
      <c r="F89" s="64">
        <f t="shared" si="36"/>
        <v>0</v>
      </c>
      <c r="G89" s="64">
        <f t="shared" si="36"/>
        <v>0</v>
      </c>
      <c r="H89" s="64">
        <f t="shared" si="36"/>
        <v>0</v>
      </c>
      <c r="I89" s="64">
        <f t="shared" si="36"/>
        <v>0</v>
      </c>
      <c r="J89" s="64">
        <f t="shared" si="36"/>
        <v>0</v>
      </c>
      <c r="K89" s="64">
        <f t="shared" si="36"/>
        <v>0</v>
      </c>
      <c r="L89" s="64">
        <f t="shared" si="36"/>
        <v>0</v>
      </c>
      <c r="M89" s="64">
        <f t="shared" si="36"/>
        <v>0</v>
      </c>
      <c r="N89" s="64">
        <f t="shared" si="36"/>
        <v>0</v>
      </c>
      <c r="O89" s="64">
        <f t="shared" si="36"/>
        <v>0</v>
      </c>
      <c r="P89" s="64">
        <f t="shared" si="36"/>
        <v>0</v>
      </c>
      <c r="Q89" s="64">
        <f t="shared" si="36"/>
        <v>0</v>
      </c>
      <c r="R89" s="64">
        <f t="shared" si="36"/>
        <v>17.99816266884423</v>
      </c>
      <c r="S89" s="64">
        <f t="shared" si="36"/>
        <v>0</v>
      </c>
      <c r="T89" s="64">
        <f t="shared" si="37"/>
        <v>0</v>
      </c>
      <c r="U89" s="64">
        <f t="shared" si="37"/>
        <v>0</v>
      </c>
      <c r="V89" s="64">
        <f t="shared" si="37"/>
        <v>0</v>
      </c>
      <c r="W89" s="279" t="s">
        <v>346</v>
      </c>
      <c r="X89" s="280">
        <f>MAX(B89:V89)</f>
        <v>17.99816266884423</v>
      </c>
      <c r="Y89" s="588"/>
      <c r="Z89" s="588"/>
    </row>
    <row r="90" spans="1:26" s="47" customFormat="1" ht="15.75" thickBot="1" x14ac:dyDescent="0.3">
      <c r="A90" s="47" t="s">
        <v>352</v>
      </c>
      <c r="F90" s="145"/>
      <c r="I90" s="145"/>
      <c r="N90" s="145"/>
    </row>
    <row r="91" spans="1:26" ht="15.75" thickBot="1" x14ac:dyDescent="0.3">
      <c r="A91" t="s">
        <v>320</v>
      </c>
      <c r="B91" s="589" t="s">
        <v>353</v>
      </c>
      <c r="C91" s="589"/>
      <c r="D91" s="589"/>
      <c r="E91" s="589"/>
      <c r="F91" s="589"/>
      <c r="G91" s="589"/>
      <c r="H91" s="589"/>
      <c r="I91" s="589"/>
      <c r="J91" s="589"/>
      <c r="K91" s="589"/>
      <c r="L91" s="589"/>
      <c r="M91" s="589"/>
      <c r="N91" s="590" t="s">
        <v>354</v>
      </c>
      <c r="O91" s="590"/>
      <c r="P91" s="291" t="s">
        <v>355</v>
      </c>
      <c r="Q91" s="291"/>
      <c r="R91" s="591" t="s">
        <v>356</v>
      </c>
      <c r="S91" s="591"/>
      <c r="T91" s="583" t="s">
        <v>283</v>
      </c>
      <c r="U91" s="584"/>
      <c r="V91" s="584"/>
    </row>
    <row r="92" spans="1:26" ht="15.75" thickBot="1" x14ac:dyDescent="0.3">
      <c r="A92" t="s">
        <v>336</v>
      </c>
      <c r="B92" s="583" t="s">
        <v>363</v>
      </c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5"/>
    </row>
    <row r="93" spans="1:26" x14ac:dyDescent="0.25">
      <c r="A93" t="s">
        <v>322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T93" s="577" t="s">
        <v>365</v>
      </c>
      <c r="U93" s="577"/>
      <c r="V93" s="577"/>
    </row>
    <row r="94" spans="1:26" x14ac:dyDescent="0.25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</row>
    <row r="95" spans="1:26" ht="14.45" customHeight="1" thickBot="1" x14ac:dyDescent="0.3">
      <c r="A95" s="47" t="s">
        <v>357</v>
      </c>
      <c r="B95" s="299"/>
      <c r="C95" s="299"/>
      <c r="D95" s="299"/>
      <c r="E95" s="299"/>
      <c r="F95" s="299"/>
      <c r="G95" s="299"/>
      <c r="H95" s="299"/>
      <c r="I95" s="299"/>
      <c r="J95" s="299"/>
      <c r="K95" s="94"/>
      <c r="L95" s="297"/>
      <c r="M95" s="297"/>
      <c r="N95" s="297"/>
      <c r="O95" s="297"/>
      <c r="P95" s="298"/>
      <c r="Q95" s="298"/>
      <c r="R95" s="298"/>
      <c r="S95" s="298"/>
      <c r="T95" s="298"/>
      <c r="U95" s="298"/>
      <c r="V95" s="298"/>
    </row>
    <row r="96" spans="1:26" s="292" customFormat="1" ht="48.75" thickBot="1" x14ac:dyDescent="0.3">
      <c r="A96" s="292" t="s">
        <v>320</v>
      </c>
      <c r="B96" s="293" t="s">
        <v>358</v>
      </c>
      <c r="C96" s="294" t="s">
        <v>97</v>
      </c>
      <c r="D96" s="578" t="s">
        <v>359</v>
      </c>
      <c r="E96" s="578"/>
      <c r="F96" s="296" t="s">
        <v>360</v>
      </c>
      <c r="G96" s="579" t="s">
        <v>361</v>
      </c>
      <c r="H96" s="579"/>
      <c r="I96" s="580" t="s">
        <v>362</v>
      </c>
      <c r="J96" s="580"/>
      <c r="K96" s="581" t="s">
        <v>283</v>
      </c>
      <c r="L96" s="582"/>
      <c r="M96" s="582"/>
      <c r="N96" s="582"/>
      <c r="O96" s="582"/>
      <c r="P96" s="582"/>
      <c r="Q96" s="582"/>
      <c r="R96" s="582"/>
      <c r="S96" s="582"/>
      <c r="T96" s="582"/>
      <c r="U96" s="582"/>
      <c r="V96" s="582"/>
      <c r="W96" s="295"/>
      <c r="X96" s="295"/>
      <c r="Y96" s="295"/>
    </row>
    <row r="97" spans="1:25" ht="15.75" thickBot="1" x14ac:dyDescent="0.3">
      <c r="A97" t="str">
        <f>A92</f>
        <v>Товарное овощеводство</v>
      </c>
      <c r="B97" s="583" t="s">
        <v>363</v>
      </c>
      <c r="C97" s="584"/>
      <c r="D97" s="584"/>
      <c r="E97" s="584"/>
      <c r="F97" s="584"/>
      <c r="G97" s="584"/>
      <c r="H97" s="584"/>
      <c r="I97" s="584"/>
      <c r="J97" s="585"/>
      <c r="K97" s="586" t="s">
        <v>364</v>
      </c>
      <c r="L97" s="587"/>
      <c r="M97" s="587"/>
      <c r="N97" s="587"/>
      <c r="O97" s="587"/>
      <c r="P97" s="587"/>
      <c r="Q97" s="587"/>
      <c r="R97" s="587"/>
      <c r="S97" s="587"/>
      <c r="T97" s="587"/>
      <c r="U97" s="587"/>
      <c r="V97" s="587"/>
    </row>
    <row r="98" spans="1:25" x14ac:dyDescent="0.25">
      <c r="A98" t="s">
        <v>322</v>
      </c>
      <c r="K98" s="577" t="s">
        <v>365</v>
      </c>
      <c r="L98" s="577"/>
      <c r="M98" s="577"/>
      <c r="N98" s="577"/>
      <c r="O98" s="577"/>
      <c r="P98" s="577"/>
      <c r="Q98" s="577"/>
      <c r="R98" s="577"/>
      <c r="S98" s="577"/>
      <c r="T98" s="577"/>
      <c r="U98" s="577"/>
      <c r="V98" s="577"/>
    </row>
    <row r="99" spans="1:25" s="94" customFormat="1" x14ac:dyDescent="0.25">
      <c r="W99" s="118"/>
      <c r="X99" s="118"/>
      <c r="Y99" s="118"/>
    </row>
    <row r="100" spans="1:25" s="94" customFormat="1" x14ac:dyDescent="0.25">
      <c r="A100" s="301" t="s">
        <v>369</v>
      </c>
      <c r="B100" s="302">
        <f>B53</f>
        <v>-451960.79281758534</v>
      </c>
      <c r="C100" s="302">
        <f t="shared" ref="C100:V100" si="39">C53</f>
        <v>-567662.75577888719</v>
      </c>
      <c r="D100" s="302">
        <f t="shared" si="39"/>
        <v>-733268.72294713079</v>
      </c>
      <c r="E100" s="302">
        <f t="shared" si="39"/>
        <v>-898874.6901153744</v>
      </c>
      <c r="F100" s="302">
        <f t="shared" si="39"/>
        <v>-900983.84048185649</v>
      </c>
      <c r="G100" s="302">
        <f t="shared" si="39"/>
        <v>-901221.11989808572</v>
      </c>
      <c r="H100" s="302">
        <f t="shared" si="39"/>
        <v>-901221.11989808572</v>
      </c>
      <c r="I100" s="302">
        <f t="shared" si="39"/>
        <v>-901221.11989808572</v>
      </c>
      <c r="J100" s="302">
        <f t="shared" si="39"/>
        <v>-978054.45467707526</v>
      </c>
      <c r="K100" s="302">
        <f t="shared" si="39"/>
        <v>-969554.45467707526</v>
      </c>
      <c r="L100" s="302">
        <f t="shared" si="39"/>
        <v>-961054.45467707526</v>
      </c>
      <c r="M100" s="302">
        <f t="shared" si="39"/>
        <v>-1029387.7894560648</v>
      </c>
      <c r="N100" s="302">
        <f t="shared" si="39"/>
        <v>-1020887.7894560648</v>
      </c>
      <c r="O100" s="302">
        <f t="shared" si="39"/>
        <v>-1012387.7894560648</v>
      </c>
      <c r="P100" s="302">
        <f t="shared" si="39"/>
        <v>-1080721.1242350542</v>
      </c>
      <c r="Q100" s="302">
        <f t="shared" si="39"/>
        <v>-1072221.1242350542</v>
      </c>
      <c r="R100" s="302">
        <f t="shared" si="39"/>
        <v>-1063721.1242350542</v>
      </c>
      <c r="S100" s="302">
        <f t="shared" si="39"/>
        <v>-1132054.4590140437</v>
      </c>
      <c r="T100" s="302">
        <f t="shared" si="39"/>
        <v>-1123554.4590140437</v>
      </c>
      <c r="U100" s="302"/>
      <c r="V100" s="302">
        <f t="shared" si="39"/>
        <v>-1106554.4590140437</v>
      </c>
      <c r="W100" s="118"/>
      <c r="X100" s="118"/>
      <c r="Y100" s="118"/>
    </row>
    <row r="101" spans="1:25" s="94" customFormat="1" x14ac:dyDescent="0.25">
      <c r="A101" s="300" t="s">
        <v>368</v>
      </c>
      <c r="B101" s="303">
        <f>B24</f>
        <v>-4397</v>
      </c>
      <c r="C101" s="303">
        <f t="shared" ref="C101:V101" si="40">C24</f>
        <v>-8794</v>
      </c>
      <c r="D101" s="303">
        <f t="shared" si="40"/>
        <v>-13191</v>
      </c>
      <c r="E101" s="303">
        <f t="shared" si="40"/>
        <v>-17588</v>
      </c>
      <c r="F101" s="303">
        <f t="shared" si="40"/>
        <v>-21985</v>
      </c>
      <c r="G101" s="303">
        <f t="shared" si="40"/>
        <v>-26382</v>
      </c>
      <c r="H101" s="303">
        <f t="shared" si="40"/>
        <v>-30779</v>
      </c>
      <c r="I101" s="303">
        <f t="shared" si="40"/>
        <v>-35176</v>
      </c>
      <c r="J101" s="303">
        <f t="shared" si="40"/>
        <v>-39573</v>
      </c>
      <c r="K101" s="303">
        <f t="shared" si="40"/>
        <v>-43970</v>
      </c>
      <c r="L101" s="303">
        <f t="shared" si="40"/>
        <v>-48367</v>
      </c>
      <c r="M101" s="303">
        <f t="shared" si="40"/>
        <v>-52764</v>
      </c>
      <c r="N101" s="303">
        <f t="shared" si="40"/>
        <v>-56252</v>
      </c>
      <c r="O101" s="303">
        <f t="shared" si="40"/>
        <v>-59740</v>
      </c>
      <c r="P101" s="303">
        <f t="shared" si="40"/>
        <v>-59746.3</v>
      </c>
      <c r="Q101" s="303">
        <f t="shared" si="40"/>
        <v>-59746.3</v>
      </c>
      <c r="R101" s="303">
        <f t="shared" si="40"/>
        <v>-59746.3</v>
      </c>
      <c r="S101" s="303">
        <f t="shared" si="40"/>
        <v>-61786.3</v>
      </c>
      <c r="T101" s="303">
        <f t="shared" si="40"/>
        <v>-53286.3</v>
      </c>
      <c r="U101" s="303"/>
      <c r="V101" s="303">
        <f t="shared" si="40"/>
        <v>-36286.300000000003</v>
      </c>
      <c r="W101" s="118"/>
      <c r="X101" s="118"/>
      <c r="Y101" s="118"/>
    </row>
    <row r="102" spans="1:25" s="94" customFormat="1" x14ac:dyDescent="0.25">
      <c r="W102" s="118"/>
      <c r="X102" s="118"/>
      <c r="Y102" s="118"/>
    </row>
    <row r="103" spans="1:25" s="94" customFormat="1" x14ac:dyDescent="0.25">
      <c r="A103" s="222" t="s">
        <v>367</v>
      </c>
      <c r="B103" s="118">
        <f>8500+8500+(8500-2000)</f>
        <v>23500</v>
      </c>
      <c r="W103" s="118"/>
      <c r="X103" s="118"/>
      <c r="Y103" s="118"/>
    </row>
    <row r="104" spans="1:25" s="94" customFormat="1" x14ac:dyDescent="0.25">
      <c r="A104" s="405" t="s">
        <v>406</v>
      </c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08"/>
      <c r="X104" s="408"/>
    </row>
    <row r="105" spans="1:25" s="94" customFormat="1" x14ac:dyDescent="0.25">
      <c r="A105" s="405" t="s">
        <v>407</v>
      </c>
      <c r="B105" s="408">
        <v>0</v>
      </c>
      <c r="C105" s="408">
        <f>B105+1</f>
        <v>1</v>
      </c>
      <c r="D105" s="408">
        <f t="shared" ref="D105:W105" si="41">C105+1</f>
        <v>2</v>
      </c>
      <c r="E105" s="408">
        <f t="shared" si="41"/>
        <v>3</v>
      </c>
      <c r="F105" s="408">
        <f t="shared" si="41"/>
        <v>4</v>
      </c>
      <c r="G105" s="408">
        <f t="shared" si="41"/>
        <v>5</v>
      </c>
      <c r="H105" s="408">
        <f t="shared" si="41"/>
        <v>6</v>
      </c>
      <c r="I105" s="408">
        <f t="shared" si="41"/>
        <v>7</v>
      </c>
      <c r="J105" s="408">
        <f t="shared" si="41"/>
        <v>8</v>
      </c>
      <c r="K105" s="408">
        <f t="shared" si="41"/>
        <v>9</v>
      </c>
      <c r="L105" s="408">
        <f t="shared" si="41"/>
        <v>10</v>
      </c>
      <c r="M105" s="408">
        <f t="shared" si="41"/>
        <v>11</v>
      </c>
      <c r="N105" s="408">
        <f t="shared" si="41"/>
        <v>12</v>
      </c>
      <c r="O105" s="408">
        <f t="shared" si="41"/>
        <v>13</v>
      </c>
      <c r="P105" s="408">
        <f t="shared" si="41"/>
        <v>14</v>
      </c>
      <c r="Q105" s="408">
        <f t="shared" si="41"/>
        <v>15</v>
      </c>
      <c r="R105" s="408">
        <f t="shared" si="41"/>
        <v>16</v>
      </c>
      <c r="S105" s="408">
        <f t="shared" si="41"/>
        <v>17</v>
      </c>
      <c r="T105" s="408">
        <f t="shared" si="41"/>
        <v>18</v>
      </c>
      <c r="U105" s="408">
        <f t="shared" si="41"/>
        <v>19</v>
      </c>
      <c r="V105" s="408">
        <f t="shared" si="41"/>
        <v>20</v>
      </c>
      <c r="W105" s="408">
        <f t="shared" si="41"/>
        <v>21</v>
      </c>
      <c r="X105" s="408"/>
    </row>
    <row r="106" spans="1:25" s="94" customFormat="1" x14ac:dyDescent="0.25">
      <c r="A106" s="405"/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08"/>
      <c r="X106" s="408"/>
    </row>
    <row r="107" spans="1:25" s="410" customFormat="1" ht="12" x14ac:dyDescent="0.2">
      <c r="A107" s="410" t="s">
        <v>408</v>
      </c>
      <c r="B107" s="412">
        <f>B35</f>
        <v>1386960.7928175854</v>
      </c>
      <c r="C107" s="412">
        <f t="shared" ref="C107:V107" si="42">C35</f>
        <v>1050701.9629613019</v>
      </c>
      <c r="D107" s="412">
        <f t="shared" si="42"/>
        <v>1100605.9671682436</v>
      </c>
      <c r="E107" s="412">
        <f t="shared" si="42"/>
        <v>1100605.9671682436</v>
      </c>
      <c r="F107" s="412">
        <f t="shared" si="42"/>
        <v>937109.15036648209</v>
      </c>
      <c r="G107" s="412">
        <f t="shared" si="42"/>
        <v>935237.27941622923</v>
      </c>
      <c r="H107" s="412">
        <f t="shared" si="42"/>
        <v>935000</v>
      </c>
      <c r="I107" s="412">
        <f t="shared" si="42"/>
        <v>935800</v>
      </c>
      <c r="J107" s="412">
        <f t="shared" si="42"/>
        <v>1012633.3347789895</v>
      </c>
      <c r="K107" s="412">
        <f t="shared" si="42"/>
        <v>884000</v>
      </c>
      <c r="L107" s="412">
        <f t="shared" si="42"/>
        <v>884800</v>
      </c>
      <c r="M107" s="412">
        <f t="shared" si="42"/>
        <v>961633.33477898955</v>
      </c>
      <c r="N107" s="412">
        <f t="shared" si="42"/>
        <v>884000</v>
      </c>
      <c r="O107" s="412">
        <f t="shared" si="42"/>
        <v>884800</v>
      </c>
      <c r="P107" s="412">
        <f t="shared" si="42"/>
        <v>961633.33477898955</v>
      </c>
      <c r="Q107" s="412">
        <f t="shared" si="42"/>
        <v>884000</v>
      </c>
      <c r="R107" s="412">
        <f t="shared" si="42"/>
        <v>884800</v>
      </c>
      <c r="S107" s="412">
        <f t="shared" si="42"/>
        <v>961633.33477898955</v>
      </c>
      <c r="T107" s="412">
        <f t="shared" si="42"/>
        <v>884000</v>
      </c>
      <c r="U107" s="412">
        <f t="shared" si="42"/>
        <v>884000</v>
      </c>
      <c r="V107" s="412">
        <f t="shared" si="42"/>
        <v>884000</v>
      </c>
      <c r="W107" s="414" t="s">
        <v>82</v>
      </c>
      <c r="X107" s="413">
        <f>SUM(B107:W107)</f>
        <v>20237954.459014043</v>
      </c>
    </row>
    <row r="108" spans="1:25" s="410" customFormat="1" ht="12" x14ac:dyDescent="0.2">
      <c r="A108" s="410" t="s">
        <v>409</v>
      </c>
      <c r="C108" s="412">
        <f>B40</f>
        <v>2805000</v>
      </c>
      <c r="D108" s="412">
        <f t="shared" ref="D108:V108" si="43">C40</f>
        <v>2805000</v>
      </c>
      <c r="E108" s="412">
        <f t="shared" si="43"/>
        <v>2805000</v>
      </c>
      <c r="F108" s="412">
        <f t="shared" si="43"/>
        <v>2805000</v>
      </c>
      <c r="G108" s="412">
        <f t="shared" si="43"/>
        <v>2805000</v>
      </c>
      <c r="H108" s="412">
        <f t="shared" si="43"/>
        <v>2805000</v>
      </c>
      <c r="I108" s="412">
        <f t="shared" si="43"/>
        <v>2805000</v>
      </c>
      <c r="J108" s="412">
        <f t="shared" si="43"/>
        <v>2805000</v>
      </c>
      <c r="K108" s="412">
        <f t="shared" si="43"/>
        <v>2807040</v>
      </c>
      <c r="L108" s="412">
        <f t="shared" si="43"/>
        <v>2813500</v>
      </c>
      <c r="M108" s="412">
        <f t="shared" si="43"/>
        <v>2813500</v>
      </c>
      <c r="N108" s="412">
        <f t="shared" si="43"/>
        <v>2815540</v>
      </c>
      <c r="O108" s="412">
        <f t="shared" si="43"/>
        <v>2813500</v>
      </c>
      <c r="P108" s="412">
        <f t="shared" si="43"/>
        <v>2813500</v>
      </c>
      <c r="Q108" s="412">
        <f t="shared" si="43"/>
        <v>2815540</v>
      </c>
      <c r="R108" s="412">
        <f t="shared" si="43"/>
        <v>2813500</v>
      </c>
      <c r="S108" s="412">
        <f t="shared" si="43"/>
        <v>2813500</v>
      </c>
      <c r="T108" s="412">
        <f t="shared" si="43"/>
        <v>2815540</v>
      </c>
      <c r="U108" s="412">
        <f t="shared" si="43"/>
        <v>2813500</v>
      </c>
      <c r="V108" s="412">
        <f t="shared" si="43"/>
        <v>2813500</v>
      </c>
      <c r="W108" s="413">
        <f>V89</f>
        <v>0</v>
      </c>
      <c r="X108" s="413">
        <f>SUM(B108:W108)</f>
        <v>56201660</v>
      </c>
    </row>
    <row r="109" spans="1:25" s="411" customFormat="1" ht="11.25" x14ac:dyDescent="0.2">
      <c r="A109" s="411" t="s">
        <v>410</v>
      </c>
      <c r="B109" s="412">
        <f>B108-B107</f>
        <v>-1386960.7928175854</v>
      </c>
      <c r="C109" s="412">
        <f t="shared" ref="C109:V109" si="44">C108-C107</f>
        <v>1754298.0370386981</v>
      </c>
      <c r="D109" s="412">
        <f t="shared" si="44"/>
        <v>1704394.0328317564</v>
      </c>
      <c r="E109" s="412">
        <f t="shared" si="44"/>
        <v>1704394.0328317564</v>
      </c>
      <c r="F109" s="412">
        <f t="shared" si="44"/>
        <v>1867890.8496335179</v>
      </c>
      <c r="G109" s="412">
        <f t="shared" si="44"/>
        <v>1869762.7205837709</v>
      </c>
      <c r="H109" s="412">
        <f t="shared" si="44"/>
        <v>1870000</v>
      </c>
      <c r="I109" s="412">
        <f t="shared" si="44"/>
        <v>1869200</v>
      </c>
      <c r="J109" s="412">
        <f t="shared" si="44"/>
        <v>1792366.6652210103</v>
      </c>
      <c r="K109" s="412">
        <f t="shared" si="44"/>
        <v>1923040</v>
      </c>
      <c r="L109" s="412">
        <f t="shared" si="44"/>
        <v>1928700</v>
      </c>
      <c r="M109" s="412">
        <f t="shared" si="44"/>
        <v>1851866.6652210103</v>
      </c>
      <c r="N109" s="412">
        <f t="shared" si="44"/>
        <v>1931540</v>
      </c>
      <c r="O109" s="412">
        <f t="shared" si="44"/>
        <v>1928700</v>
      </c>
      <c r="P109" s="412">
        <f t="shared" si="44"/>
        <v>1851866.6652210103</v>
      </c>
      <c r="Q109" s="412">
        <f t="shared" si="44"/>
        <v>1931540</v>
      </c>
      <c r="R109" s="412">
        <f t="shared" si="44"/>
        <v>1928700</v>
      </c>
      <c r="S109" s="412">
        <f t="shared" si="44"/>
        <v>1851866.6652210103</v>
      </c>
      <c r="T109" s="412">
        <f t="shared" si="44"/>
        <v>1931540</v>
      </c>
      <c r="U109" s="412">
        <f t="shared" si="44"/>
        <v>1929500</v>
      </c>
      <c r="V109" s="412">
        <f t="shared" si="44"/>
        <v>1929500</v>
      </c>
      <c r="W109" s="412">
        <v>0</v>
      </c>
      <c r="X109" s="412">
        <f>SUM(B109:W109)</f>
        <v>35963705.540985957</v>
      </c>
    </row>
    <row r="110" spans="1:25" s="417" customFormat="1" ht="9" x14ac:dyDescent="0.15">
      <c r="A110" s="417" t="s">
        <v>41</v>
      </c>
      <c r="B110" s="416">
        <f>B109</f>
        <v>-1386960.7928175854</v>
      </c>
      <c r="C110" s="416">
        <f>B110+C109</f>
        <v>367337.24422111269</v>
      </c>
      <c r="D110" s="416">
        <f t="shared" ref="D110:W110" si="45">C110+D109</f>
        <v>2071731.2770528691</v>
      </c>
      <c r="E110" s="416">
        <f t="shared" si="45"/>
        <v>3776125.3098846255</v>
      </c>
      <c r="F110" s="416">
        <f t="shared" si="45"/>
        <v>5644016.1595181432</v>
      </c>
      <c r="G110" s="416">
        <f t="shared" si="45"/>
        <v>7513778.8801019136</v>
      </c>
      <c r="H110" s="416">
        <f t="shared" si="45"/>
        <v>9383778.8801019136</v>
      </c>
      <c r="I110" s="416">
        <f t="shared" si="45"/>
        <v>11252978.880101914</v>
      </c>
      <c r="J110" s="416">
        <f t="shared" si="45"/>
        <v>13045345.545322925</v>
      </c>
      <c r="K110" s="416">
        <f t="shared" si="45"/>
        <v>14968385.545322925</v>
      </c>
      <c r="L110" s="416">
        <f t="shared" si="45"/>
        <v>16897085.545322925</v>
      </c>
      <c r="M110" s="416">
        <f t="shared" si="45"/>
        <v>18748952.210543934</v>
      </c>
      <c r="N110" s="416">
        <f t="shared" si="45"/>
        <v>20680492.210543934</v>
      </c>
      <c r="O110" s="416">
        <f t="shared" si="45"/>
        <v>22609192.210543934</v>
      </c>
      <c r="P110" s="416">
        <f t="shared" si="45"/>
        <v>24461058.875764944</v>
      </c>
      <c r="Q110" s="416">
        <f t="shared" si="45"/>
        <v>26392598.875764944</v>
      </c>
      <c r="R110" s="416">
        <f t="shared" si="45"/>
        <v>28321298.875764944</v>
      </c>
      <c r="S110" s="416">
        <f t="shared" si="45"/>
        <v>30173165.540985953</v>
      </c>
      <c r="T110" s="416">
        <f t="shared" si="45"/>
        <v>32104705.540985953</v>
      </c>
      <c r="U110" s="416">
        <f t="shared" si="45"/>
        <v>34034205.540985957</v>
      </c>
      <c r="V110" s="416">
        <f t="shared" si="45"/>
        <v>35963705.540985957</v>
      </c>
      <c r="W110" s="416">
        <f t="shared" si="45"/>
        <v>35963705.540985957</v>
      </c>
    </row>
    <row r="111" spans="1:25" s="409" customFormat="1" ht="11.25" x14ac:dyDescent="0.2">
      <c r="B111" s="409">
        <f>IF($C$112=B110,B105,0)</f>
        <v>0</v>
      </c>
      <c r="C111" s="409">
        <f t="shared" ref="C111:V111" si="46">IF($C$112=C110,C105,0)</f>
        <v>0</v>
      </c>
      <c r="D111" s="409">
        <f t="shared" si="46"/>
        <v>0</v>
      </c>
      <c r="E111" s="409">
        <f t="shared" si="46"/>
        <v>0</v>
      </c>
      <c r="F111" s="409">
        <f t="shared" si="46"/>
        <v>0</v>
      </c>
      <c r="G111" s="409">
        <f t="shared" si="46"/>
        <v>0</v>
      </c>
      <c r="H111" s="409">
        <f t="shared" si="46"/>
        <v>0</v>
      </c>
      <c r="I111" s="409">
        <f t="shared" si="46"/>
        <v>0</v>
      </c>
      <c r="J111" s="409">
        <f t="shared" si="46"/>
        <v>0</v>
      </c>
      <c r="K111" s="409">
        <f t="shared" si="46"/>
        <v>0</v>
      </c>
      <c r="L111" s="409">
        <f t="shared" si="46"/>
        <v>0</v>
      </c>
      <c r="M111" s="409">
        <f t="shared" si="46"/>
        <v>0</v>
      </c>
      <c r="N111" s="409">
        <f t="shared" si="46"/>
        <v>0</v>
      </c>
      <c r="O111" s="409">
        <f t="shared" si="46"/>
        <v>0</v>
      </c>
      <c r="P111" s="409">
        <f t="shared" si="46"/>
        <v>0</v>
      </c>
      <c r="Q111" s="409">
        <f t="shared" si="46"/>
        <v>0</v>
      </c>
      <c r="R111" s="409">
        <f t="shared" si="46"/>
        <v>0</v>
      </c>
      <c r="S111" s="409">
        <f t="shared" si="46"/>
        <v>0</v>
      </c>
      <c r="T111" s="409">
        <f t="shared" si="46"/>
        <v>0</v>
      </c>
      <c r="U111" s="409">
        <f t="shared" si="46"/>
        <v>0</v>
      </c>
      <c r="V111" s="409">
        <f t="shared" si="46"/>
        <v>0</v>
      </c>
      <c r="W111" s="409">
        <f>IF($C$53=W110,W$4,0)</f>
        <v>0</v>
      </c>
    </row>
    <row r="112" spans="1:25" s="410" customFormat="1" ht="12" x14ac:dyDescent="0.2">
      <c r="A112" s="410" t="s">
        <v>411</v>
      </c>
      <c r="C112" s="416">
        <f>MIN(B110:W110)</f>
        <v>-1386960.7928175854</v>
      </c>
      <c r="E112" s="410" t="s">
        <v>413</v>
      </c>
      <c r="G112" s="410">
        <f>MAX(B111:W111)</f>
        <v>0</v>
      </c>
      <c r="H112" s="410" t="s">
        <v>414</v>
      </c>
    </row>
    <row r="113" spans="1:25" s="410" customFormat="1" ht="12" x14ac:dyDescent="0.2">
      <c r="A113" s="410" t="s">
        <v>412</v>
      </c>
      <c r="C113" s="410">
        <f>-C112*1.2</f>
        <v>1664352.9513811024</v>
      </c>
      <c r="E113" s="410" t="s">
        <v>415</v>
      </c>
    </row>
    <row r="114" spans="1:25" s="94" customFormat="1" x14ac:dyDescent="0.25">
      <c r="W114" s="118"/>
      <c r="X114" s="118"/>
      <c r="Y114" s="118"/>
    </row>
    <row r="115" spans="1:25" s="94" customFormat="1" x14ac:dyDescent="0.25">
      <c r="W115" s="118"/>
      <c r="X115" s="118"/>
      <c r="Y115" s="118"/>
    </row>
    <row r="116" spans="1:25" s="94" customFormat="1" x14ac:dyDescent="0.25">
      <c r="W116" s="118"/>
      <c r="X116" s="118"/>
      <c r="Y116" s="118"/>
    </row>
    <row r="117" spans="1:25" s="94" customFormat="1" x14ac:dyDescent="0.25">
      <c r="W117" s="118"/>
      <c r="X117" s="118"/>
      <c r="Y117" s="118"/>
    </row>
    <row r="118" spans="1:25" s="94" customFormat="1" x14ac:dyDescent="0.25">
      <c r="W118" s="118"/>
      <c r="X118" s="118"/>
      <c r="Y118" s="118"/>
    </row>
    <row r="119" spans="1:25" s="94" customFormat="1" x14ac:dyDescent="0.25">
      <c r="W119" s="118"/>
      <c r="X119" s="118"/>
      <c r="Y119" s="118"/>
    </row>
    <row r="120" spans="1:25" s="94" customFormat="1" x14ac:dyDescent="0.25">
      <c r="W120" s="118"/>
      <c r="X120" s="118"/>
      <c r="Y120" s="118"/>
    </row>
    <row r="121" spans="1:25" s="94" customFormat="1" x14ac:dyDescent="0.25">
      <c r="W121" s="118"/>
      <c r="X121" s="118"/>
      <c r="Y121" s="118"/>
    </row>
    <row r="122" spans="1:25" s="94" customFormat="1" x14ac:dyDescent="0.25">
      <c r="W122" s="118"/>
      <c r="X122" s="118"/>
      <c r="Y122" s="118"/>
    </row>
    <row r="123" spans="1:25" s="94" customFormat="1" x14ac:dyDescent="0.25">
      <c r="W123" s="118"/>
      <c r="X123" s="118"/>
      <c r="Y123" s="118"/>
    </row>
    <row r="124" spans="1:25" s="94" customFormat="1" x14ac:dyDescent="0.25">
      <c r="W124" s="118"/>
      <c r="X124" s="118"/>
      <c r="Y124" s="118"/>
    </row>
    <row r="125" spans="1:25" s="94" customFormat="1" x14ac:dyDescent="0.25">
      <c r="W125" s="118"/>
      <c r="X125" s="118"/>
      <c r="Y125" s="118"/>
    </row>
    <row r="126" spans="1:25" s="94" customFormat="1" x14ac:dyDescent="0.25">
      <c r="W126" s="118"/>
      <c r="X126" s="118"/>
      <c r="Y126" s="118"/>
    </row>
    <row r="127" spans="1:25" s="94" customFormat="1" x14ac:dyDescent="0.25">
      <c r="W127" s="118"/>
      <c r="X127" s="118"/>
      <c r="Y127" s="118"/>
    </row>
    <row r="128" spans="1:25" s="94" customFormat="1" x14ac:dyDescent="0.25">
      <c r="W128" s="118"/>
      <c r="X128" s="118"/>
      <c r="Y128" s="118"/>
    </row>
    <row r="129" spans="23:25" s="94" customFormat="1" x14ac:dyDescent="0.25">
      <c r="W129" s="118"/>
      <c r="X129" s="118"/>
      <c r="Y129" s="118"/>
    </row>
  </sheetData>
  <mergeCells count="14">
    <mergeCell ref="B92:S92"/>
    <mergeCell ref="Y86:Z89"/>
    <mergeCell ref="B91:M91"/>
    <mergeCell ref="N91:O91"/>
    <mergeCell ref="R91:S91"/>
    <mergeCell ref="T91:V91"/>
    <mergeCell ref="K98:V98"/>
    <mergeCell ref="T93:V93"/>
    <mergeCell ref="D96:E96"/>
    <mergeCell ref="G96:H96"/>
    <mergeCell ref="I96:J96"/>
    <mergeCell ref="K96:V96"/>
    <mergeCell ref="B97:J97"/>
    <mergeCell ref="K97:V9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tabSelected="1" topLeftCell="A74" workbookViewId="0">
      <selection activeCell="X96" sqref="X96"/>
    </sheetView>
  </sheetViews>
  <sheetFormatPr defaultRowHeight="15" x14ac:dyDescent="0.25"/>
  <cols>
    <col min="1" max="1" width="26" customWidth="1"/>
    <col min="2" max="2" width="7.5703125" customWidth="1"/>
    <col min="3" max="3" width="7.7109375" customWidth="1"/>
    <col min="4" max="4" width="7.5703125" customWidth="1"/>
    <col min="5" max="5" width="7.7109375" customWidth="1"/>
    <col min="6" max="6" width="7.7109375" style="146" customWidth="1"/>
    <col min="7" max="8" width="7.7109375" customWidth="1"/>
    <col min="9" max="9" width="7.7109375" style="146" customWidth="1"/>
    <col min="10" max="13" width="7.7109375" customWidth="1"/>
    <col min="14" max="14" width="7.7109375" style="146" customWidth="1"/>
    <col min="15" max="21" width="7.7109375" customWidth="1"/>
    <col min="22" max="22" width="8.7109375" customWidth="1"/>
    <col min="23" max="23" width="9.5703125" style="188" bestFit="1" customWidth="1"/>
    <col min="24" max="24" width="12.5703125" style="188" customWidth="1"/>
    <col min="25" max="25" width="8.85546875" style="188"/>
  </cols>
  <sheetData>
    <row r="1" spans="1:25" x14ac:dyDescent="0.25">
      <c r="A1" s="418" t="s">
        <v>421</v>
      </c>
      <c r="B1" s="418"/>
      <c r="C1" s="418"/>
      <c r="D1" s="418"/>
      <c r="E1" s="418"/>
      <c r="F1" s="418"/>
      <c r="G1" s="418"/>
      <c r="H1" s="418"/>
      <c r="I1" s="121" t="s">
        <v>416</v>
      </c>
      <c r="J1" s="420">
        <v>3.8074626258674096</v>
      </c>
      <c r="K1" t="s">
        <v>417</v>
      </c>
      <c r="L1" s="422">
        <f>W79</f>
        <v>398381.68080214842</v>
      </c>
      <c r="M1" s="112" t="s">
        <v>423</v>
      </c>
      <c r="N1" s="423">
        <f>X64</f>
        <v>-4.2353919935504012E-11</v>
      </c>
      <c r="O1" s="112" t="s">
        <v>424</v>
      </c>
      <c r="P1" s="424">
        <f>X66</f>
        <v>1004.143584691761</v>
      </c>
      <c r="Q1" s="112" t="s">
        <v>425</v>
      </c>
      <c r="R1" s="425">
        <f>X65</f>
        <v>348319.52181293961</v>
      </c>
    </row>
    <row r="2" spans="1:25" x14ac:dyDescent="0.25">
      <c r="B2">
        <v>1</v>
      </c>
      <c r="C2">
        <f>B2+1</f>
        <v>2</v>
      </c>
      <c r="D2">
        <f t="shared" ref="D2:V2" si="0">C2+1</f>
        <v>3</v>
      </c>
      <c r="E2">
        <f t="shared" si="0"/>
        <v>4</v>
      </c>
      <c r="F2" s="146">
        <f t="shared" si="0"/>
        <v>5</v>
      </c>
      <c r="G2" s="146">
        <f t="shared" si="0"/>
        <v>6</v>
      </c>
      <c r="H2" s="146">
        <f t="shared" si="0"/>
        <v>7</v>
      </c>
      <c r="I2" s="146">
        <f t="shared" si="0"/>
        <v>8</v>
      </c>
      <c r="J2" s="146">
        <f t="shared" si="0"/>
        <v>9</v>
      </c>
      <c r="K2" s="146">
        <f t="shared" si="0"/>
        <v>10</v>
      </c>
      <c r="L2" s="146">
        <f t="shared" si="0"/>
        <v>11</v>
      </c>
      <c r="M2" s="146">
        <f t="shared" si="0"/>
        <v>12</v>
      </c>
      <c r="N2" s="146">
        <f t="shared" si="0"/>
        <v>13</v>
      </c>
      <c r="O2" s="146">
        <f t="shared" si="0"/>
        <v>14</v>
      </c>
      <c r="P2" s="146">
        <f t="shared" si="0"/>
        <v>15</v>
      </c>
      <c r="Q2" s="146">
        <f t="shared" si="0"/>
        <v>16</v>
      </c>
      <c r="R2" s="146">
        <f t="shared" si="0"/>
        <v>17</v>
      </c>
      <c r="S2" s="146">
        <f t="shared" si="0"/>
        <v>18</v>
      </c>
      <c r="T2" s="146">
        <f t="shared" si="0"/>
        <v>19</v>
      </c>
      <c r="U2" s="146">
        <f t="shared" si="0"/>
        <v>20</v>
      </c>
      <c r="V2" s="146">
        <f t="shared" si="0"/>
        <v>21</v>
      </c>
      <c r="W2" s="188" t="s">
        <v>258</v>
      </c>
      <c r="X2" s="188" t="s">
        <v>40</v>
      </c>
    </row>
    <row r="3" spans="1:25" ht="18.75" x14ac:dyDescent="0.3">
      <c r="A3" s="262" t="s">
        <v>262</v>
      </c>
      <c r="B3" s="262"/>
      <c r="C3" s="262"/>
      <c r="D3" s="262"/>
      <c r="E3" s="262"/>
    </row>
    <row r="4" spans="1:25" x14ac:dyDescent="0.25">
      <c r="A4" s="244" t="s">
        <v>259</v>
      </c>
      <c r="B4" s="261">
        <f>'1сел'!B5+'1сел'!B6+'1сел'!B7+'1сел'!B10</f>
        <v>4397</v>
      </c>
      <c r="C4" s="261">
        <f>'1сел'!C5+'1сел'!C6+'1сел'!C7+'1сел'!C10</f>
        <v>4397</v>
      </c>
      <c r="D4" s="261">
        <f>'1сел'!D5+'1сел'!D6+'1сел'!D7+'1сел'!D10</f>
        <v>4397</v>
      </c>
      <c r="E4" s="261">
        <f>'1сел'!E5+'1сел'!E6+'1сел'!E7+'1сел'!E10</f>
        <v>4397</v>
      </c>
      <c r="F4" s="261">
        <f>'1сел'!F5+'1сел'!F6+'1сел'!F7+'1сел'!F10</f>
        <v>4397</v>
      </c>
      <c r="G4" s="261">
        <f>'1сел'!G5+'1сел'!G6+'1сел'!G7+'1сел'!G10</f>
        <v>4397</v>
      </c>
      <c r="H4" s="261">
        <f>'1сел'!H5+'1сел'!H6+'1сел'!H7+'1сел'!H10</f>
        <v>4397</v>
      </c>
      <c r="I4" s="261">
        <f>'1сел'!I5+'1сел'!I6+'1сел'!I7+'1сел'!I10</f>
        <v>4397</v>
      </c>
      <c r="J4" s="261">
        <f>'1сел'!J5+'1сел'!J6+'1сел'!J7+'1сел'!J10</f>
        <v>4397</v>
      </c>
      <c r="K4" s="261">
        <f>'1сел'!K5+'1сел'!K6+'1сел'!K7+'1сел'!K10</f>
        <v>4397</v>
      </c>
      <c r="L4" s="261">
        <f>'1сел'!L5+'1сел'!L6+'1сел'!L7+'1сел'!L10</f>
        <v>4397</v>
      </c>
      <c r="M4" s="261">
        <f>'1сел'!M5+'1сел'!M6+'1сел'!M7+'1сел'!M10</f>
        <v>4397</v>
      </c>
      <c r="N4" s="261">
        <f>'1сел'!N5+'1сел'!N6+'1сел'!N7+'1сел'!N10</f>
        <v>3488</v>
      </c>
      <c r="O4" s="261">
        <f>'1сел'!O5+'1сел'!O6+'1сел'!O7+'1сел'!O10</f>
        <v>3488</v>
      </c>
      <c r="P4" s="261">
        <f>'1сел'!P5+'1сел'!P6+'1сел'!P7+'1сел'!P10</f>
        <v>6.3</v>
      </c>
      <c r="Q4" s="261">
        <f>'1сел'!Q5+'1сел'!Q6+'1сел'!Q7+'1сел'!Q10</f>
        <v>0</v>
      </c>
      <c r="R4" s="261">
        <f>'1сел'!R5+'1сел'!R6+'1сел'!R7+'1сел'!R10</f>
        <v>0</v>
      </c>
      <c r="S4" s="261">
        <f>'1сел'!S5+'1сел'!S6+'1сел'!S7+'1сел'!S10</f>
        <v>2040</v>
      </c>
      <c r="T4" s="261">
        <f>'1сел'!T5+'1сел'!T6+'1сел'!T7+'1сел'!T10</f>
        <v>0</v>
      </c>
      <c r="U4" s="261">
        <f>'1сел'!U5+'1сел'!U6+'1сел'!U7+'1сел'!U10</f>
        <v>0</v>
      </c>
      <c r="V4" s="261">
        <f>'1сел'!V5+'1сел'!V6+'1сел'!V7+'1сел'!V10</f>
        <v>0</v>
      </c>
      <c r="W4" s="199">
        <f t="shared" ref="W4:W22" si="1">SUM(B4:V4)</f>
        <v>61786.3</v>
      </c>
      <c r="X4" s="189">
        <f>NPV('1сел'!$X$1,B4:V4)</f>
        <v>53272.586999344836</v>
      </c>
    </row>
    <row r="5" spans="1:25" x14ac:dyDescent="0.25">
      <c r="A5" s="244" t="s">
        <v>261</v>
      </c>
      <c r="B5" s="58">
        <f>('3товар'!B4+'3товар'!B5)*1000</f>
        <v>935000</v>
      </c>
      <c r="C5" s="58">
        <f>('3товар'!C4+'3товар'!C5)*1000</f>
        <v>935000</v>
      </c>
      <c r="D5" s="58">
        <f>('3товар'!D4+'3товар'!D5)*1000</f>
        <v>935000</v>
      </c>
      <c r="E5" s="58">
        <f>('3товар'!E4+'3товар'!E5)*1000</f>
        <v>935000</v>
      </c>
      <c r="F5" s="251">
        <f>('3товар'!F4+'3товар'!F5)*1000</f>
        <v>935000</v>
      </c>
      <c r="G5" s="58">
        <f>('3товар'!G4+'3товар'!G5)*1000</f>
        <v>935000</v>
      </c>
      <c r="H5" s="58">
        <f>('3товар'!H4+'3товар'!H5)*1000</f>
        <v>935000</v>
      </c>
      <c r="I5" s="251">
        <f>('3товар'!I4+'3товар'!I5)*1000</f>
        <v>935000</v>
      </c>
      <c r="J5" s="58">
        <f>('3товар'!J4+'3товар'!J5)*1000</f>
        <v>935000</v>
      </c>
      <c r="K5" s="58">
        <f>('3товар'!K4+'3товар'!K5)*1000</f>
        <v>935000</v>
      </c>
      <c r="L5" s="58">
        <f>('3товар'!L4+'3товар'!L5)*1000</f>
        <v>935000</v>
      </c>
      <c r="M5" s="58">
        <f>('3товар'!M4+'3товар'!M5)*1000</f>
        <v>935000</v>
      </c>
      <c r="N5" s="251">
        <f>('3товар'!N4+'3товар'!N5)*1000</f>
        <v>935000</v>
      </c>
      <c r="O5" s="58">
        <f>('3товар'!O4+'3товар'!O5)*1000</f>
        <v>935000</v>
      </c>
      <c r="P5" s="58">
        <f>('3товар'!P4+'3товар'!P5)*1000</f>
        <v>935000</v>
      </c>
      <c r="Q5" s="58">
        <f>('3товар'!Q4+'3товар'!Q5)*1000</f>
        <v>935000</v>
      </c>
      <c r="R5" s="58">
        <f>('3товар'!R4+'3товар'!R5)*1000</f>
        <v>935000</v>
      </c>
      <c r="S5" s="58">
        <f>('3товар'!S4+'3товар'!S5)*1000</f>
        <v>935000</v>
      </c>
      <c r="T5" s="58">
        <f>('3товар'!T4+'3товар'!T5)*1000</f>
        <v>884000</v>
      </c>
      <c r="U5" s="58">
        <f>('3товар'!U4+'3товар'!U5)*1000</f>
        <v>884000</v>
      </c>
      <c r="V5" s="58">
        <f>('3товар'!V4+'3товар'!V5)*1000</f>
        <v>884000</v>
      </c>
      <c r="W5" s="199">
        <f t="shared" si="1"/>
        <v>19482000</v>
      </c>
      <c r="X5" s="189">
        <f>NPV('1сел'!$X$1,B5:V5)</f>
        <v>15802502.492488489</v>
      </c>
    </row>
    <row r="6" spans="1:25" x14ac:dyDescent="0.25">
      <c r="A6" s="244" t="s">
        <v>260</v>
      </c>
      <c r="B6" s="247">
        <f>('2сем'!B4+'2сем'!B9+'2сем'!B10)</f>
        <v>0</v>
      </c>
      <c r="C6" s="247">
        <f>('2сем'!C4+'2сем'!C9+'2сем'!C10)</f>
        <v>0</v>
      </c>
      <c r="D6" s="247">
        <f>('2сем'!D4+'2сем'!D9+'2сем'!D10)</f>
        <v>0</v>
      </c>
      <c r="E6" s="247">
        <f>('2сем'!E4+'2сем'!E9+'2сем'!E10)</f>
        <v>0</v>
      </c>
      <c r="F6" s="253">
        <f>('2сем'!F4+'2сем'!F9+'2сем'!F10)</f>
        <v>0</v>
      </c>
      <c r="G6" s="247">
        <f>('2сем'!G4+'2сем'!G9+'2сем'!G10)</f>
        <v>0</v>
      </c>
      <c r="H6" s="247">
        <f>('2сем'!H4+'2сем'!H9+'2сем'!H10)</f>
        <v>0</v>
      </c>
      <c r="I6" s="253">
        <f>('2сем'!I4+'2сем'!I9+'2сем'!I10)</f>
        <v>0</v>
      </c>
      <c r="J6" s="247">
        <f>('2сем'!J4+'2сем'!J9+'2сем'!J10)</f>
        <v>0</v>
      </c>
      <c r="K6" s="247">
        <f>('2сем'!K4+'2сем'!K9+'2сем'!K10)</f>
        <v>0</v>
      </c>
      <c r="L6" s="247">
        <f>('2сем'!L4+'2сем'!L9+'2сем'!L10)</f>
        <v>0</v>
      </c>
      <c r="M6" s="247">
        <f>('2сем'!M4+'2сем'!M9+'2сем'!M10)</f>
        <v>0</v>
      </c>
      <c r="N6" s="253">
        <f>('2сем'!N4+'2сем'!N9+'2сем'!N10)</f>
        <v>0</v>
      </c>
      <c r="O6" s="247">
        <f>('2сем'!O4+'2сем'!O9+'2сем'!O10)</f>
        <v>0</v>
      </c>
      <c r="P6" s="247">
        <f>('2сем'!P4+'2сем'!P9+'2сем'!P10)</f>
        <v>0</v>
      </c>
      <c r="Q6" s="247">
        <f>('2сем'!Q4+'2сем'!Q9+'2сем'!Q10)</f>
        <v>0</v>
      </c>
      <c r="R6" s="247">
        <f>('2сем'!R4+'2сем'!R9+'2сем'!R10)</f>
        <v>800.00000000000011</v>
      </c>
      <c r="S6" s="247">
        <f>('2сем'!S4+'2сем'!S9+'2сем'!S10)</f>
        <v>800.00000000000011</v>
      </c>
      <c r="T6" s="247">
        <f>('2сем'!T4+'2сем'!T9+'2сем'!T10)</f>
        <v>0</v>
      </c>
      <c r="U6" s="247">
        <f>('2сем'!U4+'2сем'!U9+'2сем'!U10)</f>
        <v>0</v>
      </c>
      <c r="V6" s="247">
        <f>('2сем'!V4+'2сем'!V9+'2сем'!V10)</f>
        <v>0</v>
      </c>
      <c r="W6" s="199">
        <f t="shared" si="1"/>
        <v>1600.0000000000002</v>
      </c>
      <c r="X6" s="189">
        <f>NPV('1сел'!$X$1,B6:V6)</f>
        <v>1131.457549944447</v>
      </c>
    </row>
    <row r="7" spans="1:25" s="37" customFormat="1" ht="12.75" x14ac:dyDescent="0.2">
      <c r="A7" s="40" t="s">
        <v>263</v>
      </c>
      <c r="B7" s="40">
        <f>SUM(B4:B6)</f>
        <v>939397</v>
      </c>
      <c r="C7" s="40">
        <f t="shared" ref="C7:V7" si="2">SUM(C4:C6)</f>
        <v>939397</v>
      </c>
      <c r="D7" s="40">
        <f t="shared" si="2"/>
        <v>939397</v>
      </c>
      <c r="E7" s="40">
        <f t="shared" si="2"/>
        <v>939397</v>
      </c>
      <c r="F7" s="252">
        <f t="shared" si="2"/>
        <v>939397</v>
      </c>
      <c r="G7" s="40">
        <f t="shared" si="2"/>
        <v>939397</v>
      </c>
      <c r="H7" s="40">
        <f t="shared" si="2"/>
        <v>939397</v>
      </c>
      <c r="I7" s="252">
        <f t="shared" si="2"/>
        <v>939397</v>
      </c>
      <c r="J7" s="40">
        <f t="shared" si="2"/>
        <v>939397</v>
      </c>
      <c r="K7" s="40">
        <f t="shared" si="2"/>
        <v>939397</v>
      </c>
      <c r="L7" s="40">
        <f t="shared" si="2"/>
        <v>939397</v>
      </c>
      <c r="M7" s="40">
        <f t="shared" si="2"/>
        <v>939397</v>
      </c>
      <c r="N7" s="252">
        <f t="shared" si="2"/>
        <v>938488</v>
      </c>
      <c r="O7" s="40">
        <f t="shared" si="2"/>
        <v>938488</v>
      </c>
      <c r="P7" s="40">
        <f t="shared" si="2"/>
        <v>935006.3</v>
      </c>
      <c r="Q7" s="40">
        <f t="shared" si="2"/>
        <v>935000</v>
      </c>
      <c r="R7" s="40">
        <f t="shared" si="2"/>
        <v>935800</v>
      </c>
      <c r="S7" s="40">
        <f t="shared" si="2"/>
        <v>937840</v>
      </c>
      <c r="T7" s="40">
        <f t="shared" si="2"/>
        <v>884000</v>
      </c>
      <c r="U7" s="40">
        <f t="shared" si="2"/>
        <v>884000</v>
      </c>
      <c r="V7" s="40">
        <f t="shared" si="2"/>
        <v>884000</v>
      </c>
      <c r="W7" s="200">
        <f t="shared" si="1"/>
        <v>19545386.300000001</v>
      </c>
      <c r="X7" s="189">
        <f>NPV('1сел'!$X$1,B7:V7)</f>
        <v>15856906.537037784</v>
      </c>
      <c r="Y7" s="193"/>
    </row>
    <row r="8" spans="1:25" x14ac:dyDescent="0.25">
      <c r="A8" s="201" t="s">
        <v>264</v>
      </c>
      <c r="W8" s="189">
        <f t="shared" si="1"/>
        <v>0</v>
      </c>
      <c r="X8" s="189">
        <f>NPV('1сел'!$X$1,B8:V8)</f>
        <v>0</v>
      </c>
    </row>
    <row r="9" spans="1:25" x14ac:dyDescent="0.25">
      <c r="A9" s="191" t="s">
        <v>265</v>
      </c>
      <c r="B9" s="215">
        <f>'1сел'!B11</f>
        <v>0</v>
      </c>
      <c r="C9" s="215">
        <f>'1сел'!C11</f>
        <v>0</v>
      </c>
      <c r="D9" s="215">
        <f>'1сел'!D11</f>
        <v>0</v>
      </c>
      <c r="E9" s="215">
        <f>'1сел'!E11</f>
        <v>0</v>
      </c>
      <c r="F9" s="254">
        <f>'1сел'!F11</f>
        <v>0</v>
      </c>
      <c r="G9" s="215">
        <f>'1сел'!G11</f>
        <v>0</v>
      </c>
      <c r="H9" s="215">
        <f>'1сел'!H11</f>
        <v>0</v>
      </c>
      <c r="I9" s="254">
        <f>'1сел'!I11</f>
        <v>0</v>
      </c>
      <c r="J9" s="215">
        <f>'1сел'!J11</f>
        <v>0</v>
      </c>
      <c r="K9" s="215">
        <f>'1сел'!K11</f>
        <v>0</v>
      </c>
      <c r="L9" s="215">
        <f>'1сел'!L11</f>
        <v>0</v>
      </c>
      <c r="M9" s="215">
        <f>'1сел'!M11</f>
        <v>0</v>
      </c>
      <c r="N9" s="254">
        <f>'1сел'!N11</f>
        <v>0</v>
      </c>
      <c r="O9" s="215">
        <f>'1сел'!O11</f>
        <v>0</v>
      </c>
      <c r="P9" s="215">
        <f>'1сел'!P11</f>
        <v>0</v>
      </c>
      <c r="Q9" s="215">
        <f>'1сел'!Q11</f>
        <v>0</v>
      </c>
      <c r="R9" s="215">
        <f>'1сел'!R11</f>
        <v>0</v>
      </c>
      <c r="S9" s="215">
        <f>'1сел'!S11</f>
        <v>0</v>
      </c>
      <c r="T9" s="215">
        <f>'1сел'!T11</f>
        <v>8500</v>
      </c>
      <c r="U9" s="215">
        <f>'1сел'!U11</f>
        <v>8500</v>
      </c>
      <c r="V9" s="215">
        <f>'1сел'!V11</f>
        <v>8500</v>
      </c>
      <c r="W9" s="189">
        <f t="shared" si="1"/>
        <v>25500</v>
      </c>
      <c r="X9" s="189">
        <f>NPV('1сел'!$X$1,B9:V9)</f>
        <v>17163.012232032492</v>
      </c>
    </row>
    <row r="10" spans="1:25" x14ac:dyDescent="0.25">
      <c r="A10" s="191" t="s">
        <v>267</v>
      </c>
      <c r="B10" s="245">
        <f>'3товар'!B6*1000</f>
        <v>2805000</v>
      </c>
      <c r="C10" s="245">
        <f>'3товар'!C6*1000</f>
        <v>2805000</v>
      </c>
      <c r="D10" s="245">
        <f>'3товар'!D6*1000</f>
        <v>2805000</v>
      </c>
      <c r="E10" s="245">
        <f>'3товар'!E6*1000</f>
        <v>2805000</v>
      </c>
      <c r="F10" s="255">
        <f>'3товар'!F6*1000</f>
        <v>2805000</v>
      </c>
      <c r="G10" s="245">
        <f>'3товар'!G6*1000</f>
        <v>2805000</v>
      </c>
      <c r="H10" s="245">
        <f>'3товар'!H6*1000</f>
        <v>2805000</v>
      </c>
      <c r="I10" s="255">
        <f>'3товар'!I6*1000</f>
        <v>2805000</v>
      </c>
      <c r="J10" s="245">
        <f>'3товар'!J6*1000</f>
        <v>2805000</v>
      </c>
      <c r="K10" s="245">
        <f>'3товар'!K6*1000</f>
        <v>2805000</v>
      </c>
      <c r="L10" s="245">
        <f>'3товар'!L6*1000</f>
        <v>2805000</v>
      </c>
      <c r="M10" s="245">
        <f>'3товар'!M6*1000</f>
        <v>2805000</v>
      </c>
      <c r="N10" s="255">
        <f>'3товар'!N6*1000</f>
        <v>2805000</v>
      </c>
      <c r="O10" s="245">
        <f>'3товар'!O6*1000</f>
        <v>2805000</v>
      </c>
      <c r="P10" s="245">
        <f>'3товар'!P6*1000</f>
        <v>2805000</v>
      </c>
      <c r="Q10" s="245">
        <f>'3товар'!Q6*1000</f>
        <v>2805000</v>
      </c>
      <c r="R10" s="245">
        <f>'3товар'!R6*1000</f>
        <v>2805000</v>
      </c>
      <c r="S10" s="245">
        <f>'3товар'!S6*1000</f>
        <v>2805000</v>
      </c>
      <c r="T10" s="245">
        <f>'3товар'!T6*1000</f>
        <v>2805000</v>
      </c>
      <c r="U10" s="245">
        <f>'3товар'!U6*1000</f>
        <v>2805000</v>
      </c>
      <c r="V10" s="245">
        <f>'3товар'!V6*1000</f>
        <v>2805000</v>
      </c>
      <c r="W10" s="189">
        <f t="shared" si="1"/>
        <v>58905000</v>
      </c>
      <c r="X10" s="189">
        <f>NPV('1сел'!$X$1,B10:V10)</f>
        <v>47716441.697642058</v>
      </c>
    </row>
    <row r="11" spans="1:25" x14ac:dyDescent="0.25">
      <c r="A11" s="191" t="s">
        <v>266</v>
      </c>
      <c r="B11" s="215">
        <f>'2сем'!B11</f>
        <v>0</v>
      </c>
      <c r="C11" s="215">
        <f>'2сем'!C11</f>
        <v>0</v>
      </c>
      <c r="D11" s="215">
        <f>'2сем'!D11</f>
        <v>0</v>
      </c>
      <c r="E11" s="215">
        <f>'2сем'!E11</f>
        <v>0</v>
      </c>
      <c r="F11" s="254">
        <f>'2сем'!F11</f>
        <v>0</v>
      </c>
      <c r="G11" s="215">
        <f>'2сем'!G11</f>
        <v>0</v>
      </c>
      <c r="H11" s="215">
        <f>'2сем'!H11</f>
        <v>0</v>
      </c>
      <c r="I11" s="254">
        <f>'2сем'!I11</f>
        <v>0</v>
      </c>
      <c r="J11" s="215">
        <f>'2сем'!J11</f>
        <v>0</v>
      </c>
      <c r="K11" s="215">
        <f>'2сем'!K11</f>
        <v>0</v>
      </c>
      <c r="L11" s="215">
        <f>'2сем'!L11</f>
        <v>0</v>
      </c>
      <c r="M11" s="215">
        <f>'2сем'!M11</f>
        <v>0</v>
      </c>
      <c r="N11" s="254">
        <f>'2сем'!N11</f>
        <v>0</v>
      </c>
      <c r="O11" s="215">
        <f>'2сем'!O11</f>
        <v>0</v>
      </c>
      <c r="P11" s="215">
        <f>'2сем'!P11</f>
        <v>0</v>
      </c>
      <c r="Q11" s="215">
        <f>'2сем'!Q11</f>
        <v>0</v>
      </c>
      <c r="R11" s="215">
        <f>'2сем'!R11</f>
        <v>0</v>
      </c>
      <c r="S11" s="215">
        <f>'2сем'!S11</f>
        <v>2040</v>
      </c>
      <c r="T11" s="215">
        <f>'2сем'!T11</f>
        <v>0</v>
      </c>
      <c r="U11" s="215">
        <f>'2сем'!U11</f>
        <v>0</v>
      </c>
      <c r="V11" s="215">
        <f>'2сем'!V11</f>
        <v>0</v>
      </c>
      <c r="W11" s="189">
        <f t="shared" si="1"/>
        <v>2040</v>
      </c>
      <c r="X11" s="189">
        <f>NPV('1сел'!$X$1,B11:V11)</f>
        <v>1428.325124929871</v>
      </c>
    </row>
    <row r="12" spans="1:25" s="188" customFormat="1" x14ac:dyDescent="0.25">
      <c r="A12" s="194" t="s">
        <v>263</v>
      </c>
      <c r="B12" s="194">
        <f>SUM(B9:B11)</f>
        <v>2805000</v>
      </c>
      <c r="C12" s="194">
        <f t="shared" ref="C12:V12" si="3">SUM(C9:C11)</f>
        <v>2805000</v>
      </c>
      <c r="D12" s="194">
        <f t="shared" si="3"/>
        <v>2805000</v>
      </c>
      <c r="E12" s="194">
        <f t="shared" si="3"/>
        <v>2805000</v>
      </c>
      <c r="F12" s="256">
        <f t="shared" si="3"/>
        <v>2805000</v>
      </c>
      <c r="G12" s="194">
        <f t="shared" si="3"/>
        <v>2805000</v>
      </c>
      <c r="H12" s="194">
        <f t="shared" si="3"/>
        <v>2805000</v>
      </c>
      <c r="I12" s="256">
        <f t="shared" si="3"/>
        <v>2805000</v>
      </c>
      <c r="J12" s="194">
        <f t="shared" si="3"/>
        <v>2805000</v>
      </c>
      <c r="K12" s="194">
        <f t="shared" si="3"/>
        <v>2805000</v>
      </c>
      <c r="L12" s="194">
        <f t="shared" si="3"/>
        <v>2805000</v>
      </c>
      <c r="M12" s="194">
        <f t="shared" si="3"/>
        <v>2805000</v>
      </c>
      <c r="N12" s="256">
        <f t="shared" si="3"/>
        <v>2805000</v>
      </c>
      <c r="O12" s="194">
        <f t="shared" si="3"/>
        <v>2805000</v>
      </c>
      <c r="P12" s="194">
        <f t="shared" si="3"/>
        <v>2805000</v>
      </c>
      <c r="Q12" s="194">
        <f t="shared" si="3"/>
        <v>2805000</v>
      </c>
      <c r="R12" s="194">
        <f t="shared" si="3"/>
        <v>2805000</v>
      </c>
      <c r="S12" s="194">
        <f t="shared" si="3"/>
        <v>2807040</v>
      </c>
      <c r="T12" s="194">
        <f t="shared" si="3"/>
        <v>2813500</v>
      </c>
      <c r="U12" s="194">
        <f t="shared" si="3"/>
        <v>2813500</v>
      </c>
      <c r="V12" s="194">
        <f t="shared" si="3"/>
        <v>2813500</v>
      </c>
      <c r="W12" s="189">
        <f t="shared" si="1"/>
        <v>58932540</v>
      </c>
      <c r="X12" s="189">
        <f>NPV('1сел'!$X$1,B12:V12)</f>
        <v>47735033.034999028</v>
      </c>
    </row>
    <row r="13" spans="1:25" x14ac:dyDescent="0.25">
      <c r="A13" s="48" t="s">
        <v>268</v>
      </c>
      <c r="B13" s="37">
        <f>B9-B4</f>
        <v>-4397</v>
      </c>
      <c r="C13" s="37">
        <f t="shared" ref="C13:V15" si="4">C9-C4</f>
        <v>-4397</v>
      </c>
      <c r="D13" s="37">
        <f t="shared" si="4"/>
        <v>-4397</v>
      </c>
      <c r="E13" s="37">
        <f t="shared" si="4"/>
        <v>-4397</v>
      </c>
      <c r="F13" s="257">
        <f t="shared" si="4"/>
        <v>-4397</v>
      </c>
      <c r="G13" s="37">
        <f t="shared" si="4"/>
        <v>-4397</v>
      </c>
      <c r="H13" s="37">
        <f t="shared" si="4"/>
        <v>-4397</v>
      </c>
      <c r="I13" s="257">
        <f t="shared" si="4"/>
        <v>-4397</v>
      </c>
      <c r="J13" s="37">
        <f t="shared" si="4"/>
        <v>-4397</v>
      </c>
      <c r="K13" s="37">
        <f t="shared" si="4"/>
        <v>-4397</v>
      </c>
      <c r="L13" s="37">
        <f t="shared" si="4"/>
        <v>-4397</v>
      </c>
      <c r="M13" s="37">
        <f t="shared" si="4"/>
        <v>-4397</v>
      </c>
      <c r="N13" s="257">
        <f t="shared" si="4"/>
        <v>-3488</v>
      </c>
      <c r="O13" s="37">
        <f t="shared" si="4"/>
        <v>-3488</v>
      </c>
      <c r="P13" s="37">
        <f t="shared" si="4"/>
        <v>-6.3</v>
      </c>
      <c r="Q13" s="37">
        <f t="shared" si="4"/>
        <v>0</v>
      </c>
      <c r="R13" s="37">
        <f t="shared" si="4"/>
        <v>0</v>
      </c>
      <c r="S13" s="37">
        <f t="shared" si="4"/>
        <v>-2040</v>
      </c>
      <c r="T13" s="37">
        <f t="shared" si="4"/>
        <v>8500</v>
      </c>
      <c r="U13" s="37">
        <f t="shared" si="4"/>
        <v>8500</v>
      </c>
      <c r="V13" s="37">
        <f t="shared" si="4"/>
        <v>8500</v>
      </c>
      <c r="W13" s="189">
        <f t="shared" si="1"/>
        <v>-36286.300000000003</v>
      </c>
      <c r="X13" s="189">
        <f>NPV('1сел'!$X$1,B13:V13)</f>
        <v>-36109.574767312348</v>
      </c>
    </row>
    <row r="14" spans="1:25" x14ac:dyDescent="0.25">
      <c r="A14" s="245" t="s">
        <v>269</v>
      </c>
      <c r="B14" s="245">
        <f>B10-B5</f>
        <v>1870000</v>
      </c>
      <c r="C14" s="245">
        <f t="shared" si="4"/>
        <v>1870000</v>
      </c>
      <c r="D14" s="245">
        <f t="shared" si="4"/>
        <v>1870000</v>
      </c>
      <c r="E14" s="245">
        <f t="shared" si="4"/>
        <v>1870000</v>
      </c>
      <c r="F14" s="255">
        <f t="shared" si="4"/>
        <v>1870000</v>
      </c>
      <c r="G14" s="245">
        <f t="shared" si="4"/>
        <v>1870000</v>
      </c>
      <c r="H14" s="245">
        <f t="shared" si="4"/>
        <v>1870000</v>
      </c>
      <c r="I14" s="255">
        <f t="shared" si="4"/>
        <v>1870000</v>
      </c>
      <c r="J14" s="245">
        <f t="shared" si="4"/>
        <v>1870000</v>
      </c>
      <c r="K14" s="245">
        <f t="shared" si="4"/>
        <v>1870000</v>
      </c>
      <c r="L14" s="245">
        <f t="shared" si="4"/>
        <v>1870000</v>
      </c>
      <c r="M14" s="245">
        <f t="shared" si="4"/>
        <v>1870000</v>
      </c>
      <c r="N14" s="255">
        <f t="shared" si="4"/>
        <v>1870000</v>
      </c>
      <c r="O14" s="245">
        <f t="shared" si="4"/>
        <v>1870000</v>
      </c>
      <c r="P14" s="245">
        <f t="shared" si="4"/>
        <v>1870000</v>
      </c>
      <c r="Q14" s="245">
        <f t="shared" si="4"/>
        <v>1870000</v>
      </c>
      <c r="R14" s="245">
        <f t="shared" si="4"/>
        <v>1870000</v>
      </c>
      <c r="S14" s="245">
        <f t="shared" si="4"/>
        <v>1870000</v>
      </c>
      <c r="T14" s="245">
        <f t="shared" si="4"/>
        <v>1921000</v>
      </c>
      <c r="U14" s="245">
        <f t="shared" si="4"/>
        <v>1921000</v>
      </c>
      <c r="V14" s="245">
        <f t="shared" si="4"/>
        <v>1921000</v>
      </c>
      <c r="W14" s="189">
        <f t="shared" si="1"/>
        <v>39423000</v>
      </c>
      <c r="X14" s="189">
        <f>NPV('1сел'!$X$1,B14:V14)</f>
        <v>31913939.205153566</v>
      </c>
    </row>
    <row r="15" spans="1:25" x14ac:dyDescent="0.25">
      <c r="A15" s="48" t="s">
        <v>270</v>
      </c>
      <c r="B15" s="246">
        <f>B11-B6</f>
        <v>0</v>
      </c>
      <c r="C15" s="246">
        <f t="shared" si="4"/>
        <v>0</v>
      </c>
      <c r="D15" s="246">
        <f t="shared" si="4"/>
        <v>0</v>
      </c>
      <c r="E15" s="246">
        <f t="shared" si="4"/>
        <v>0</v>
      </c>
      <c r="F15" s="258">
        <f t="shared" si="4"/>
        <v>0</v>
      </c>
      <c r="G15" s="246">
        <f t="shared" si="4"/>
        <v>0</v>
      </c>
      <c r="H15" s="246">
        <f t="shared" si="4"/>
        <v>0</v>
      </c>
      <c r="I15" s="258">
        <f t="shared" si="4"/>
        <v>0</v>
      </c>
      <c r="J15" s="246">
        <f t="shared" si="4"/>
        <v>0</v>
      </c>
      <c r="K15" s="246">
        <f t="shared" si="4"/>
        <v>0</v>
      </c>
      <c r="L15" s="246">
        <f t="shared" si="4"/>
        <v>0</v>
      </c>
      <c r="M15" s="246">
        <f t="shared" si="4"/>
        <v>0</v>
      </c>
      <c r="N15" s="258">
        <f t="shared" si="4"/>
        <v>0</v>
      </c>
      <c r="O15" s="246">
        <f t="shared" si="4"/>
        <v>0</v>
      </c>
      <c r="P15" s="246">
        <f t="shared" si="4"/>
        <v>0</v>
      </c>
      <c r="Q15" s="246">
        <f t="shared" si="4"/>
        <v>0</v>
      </c>
      <c r="R15" s="246">
        <f t="shared" si="4"/>
        <v>-800.00000000000011</v>
      </c>
      <c r="S15" s="246">
        <f t="shared" si="4"/>
        <v>1240</v>
      </c>
      <c r="T15" s="246">
        <f t="shared" si="4"/>
        <v>0</v>
      </c>
      <c r="U15" s="246">
        <f t="shared" si="4"/>
        <v>0</v>
      </c>
      <c r="V15" s="246">
        <f t="shared" si="4"/>
        <v>0</v>
      </c>
      <c r="W15" s="189">
        <f t="shared" si="1"/>
        <v>439.99999999999989</v>
      </c>
      <c r="X15" s="189">
        <f>NPV('1сел'!$X$1,B15:V15)</f>
        <v>296.86757498542408</v>
      </c>
    </row>
    <row r="16" spans="1:25" x14ac:dyDescent="0.25">
      <c r="A16" s="48" t="s">
        <v>271</v>
      </c>
      <c r="B16" s="37">
        <f>SUM(B13:B15)</f>
        <v>1865603</v>
      </c>
      <c r="C16" s="37">
        <f t="shared" ref="C16:V16" si="5">SUM(C13:C15)</f>
        <v>1865603</v>
      </c>
      <c r="D16" s="37">
        <f t="shared" si="5"/>
        <v>1865603</v>
      </c>
      <c r="E16" s="37">
        <f t="shared" si="5"/>
        <v>1865603</v>
      </c>
      <c r="F16" s="257">
        <f t="shared" si="5"/>
        <v>1865603</v>
      </c>
      <c r="G16" s="37">
        <f t="shared" si="5"/>
        <v>1865603</v>
      </c>
      <c r="H16" s="37">
        <f t="shared" si="5"/>
        <v>1865603</v>
      </c>
      <c r="I16" s="257">
        <f t="shared" si="5"/>
        <v>1865603</v>
      </c>
      <c r="J16" s="37">
        <f t="shared" si="5"/>
        <v>1865603</v>
      </c>
      <c r="K16" s="37">
        <f t="shared" si="5"/>
        <v>1865603</v>
      </c>
      <c r="L16" s="37">
        <f t="shared" si="5"/>
        <v>1865603</v>
      </c>
      <c r="M16" s="37">
        <f t="shared" si="5"/>
        <v>1865603</v>
      </c>
      <c r="N16" s="257">
        <f t="shared" si="5"/>
        <v>1866512</v>
      </c>
      <c r="O16" s="37">
        <f t="shared" si="5"/>
        <v>1866512</v>
      </c>
      <c r="P16" s="37">
        <f t="shared" si="5"/>
        <v>1869993.7</v>
      </c>
      <c r="Q16" s="37">
        <f t="shared" si="5"/>
        <v>1870000</v>
      </c>
      <c r="R16" s="37">
        <f t="shared" si="5"/>
        <v>1869200</v>
      </c>
      <c r="S16" s="37">
        <f t="shared" si="5"/>
        <v>1869200</v>
      </c>
      <c r="T16" s="37">
        <f t="shared" si="5"/>
        <v>1929500</v>
      </c>
      <c r="U16" s="37">
        <f t="shared" si="5"/>
        <v>1929500</v>
      </c>
      <c r="V16" s="37">
        <f t="shared" si="5"/>
        <v>1929500</v>
      </c>
      <c r="W16" s="277">
        <f t="shared" si="1"/>
        <v>39387153.700000003</v>
      </c>
      <c r="X16" s="189">
        <f>NPV('1сел'!$X$1,B16:V16)</f>
        <v>31878126.497961242</v>
      </c>
    </row>
    <row r="17" spans="1:25" s="146" customFormat="1" x14ac:dyDescent="0.25">
      <c r="A17" s="195" t="s">
        <v>318</v>
      </c>
      <c r="B17" s="196">
        <f t="shared" ref="B17:V17" si="6">B22-B16</f>
        <v>0</v>
      </c>
      <c r="C17" s="196">
        <f t="shared" si="6"/>
        <v>0</v>
      </c>
      <c r="D17" s="196">
        <f t="shared" si="6"/>
        <v>0</v>
      </c>
      <c r="E17" s="196">
        <f t="shared" si="6"/>
        <v>0</v>
      </c>
      <c r="F17" s="196">
        <f t="shared" si="6"/>
        <v>0</v>
      </c>
      <c r="G17" s="196">
        <f t="shared" si="6"/>
        <v>0</v>
      </c>
      <c r="H17" s="196">
        <f t="shared" si="6"/>
        <v>0</v>
      </c>
      <c r="I17" s="196">
        <f t="shared" si="6"/>
        <v>0</v>
      </c>
      <c r="J17" s="196">
        <f t="shared" si="6"/>
        <v>0</v>
      </c>
      <c r="K17" s="196">
        <f t="shared" si="6"/>
        <v>0</v>
      </c>
      <c r="L17" s="196">
        <f t="shared" si="6"/>
        <v>0</v>
      </c>
      <c r="M17" s="196">
        <f t="shared" si="6"/>
        <v>0</v>
      </c>
      <c r="N17" s="196">
        <f t="shared" si="6"/>
        <v>0</v>
      </c>
      <c r="O17" s="196">
        <f t="shared" si="6"/>
        <v>0</v>
      </c>
      <c r="P17" s="196">
        <f t="shared" si="6"/>
        <v>0</v>
      </c>
      <c r="Q17" s="196">
        <f t="shared" si="6"/>
        <v>0</v>
      </c>
      <c r="R17" s="196">
        <f t="shared" si="6"/>
        <v>0</v>
      </c>
      <c r="S17" s="196">
        <f t="shared" si="6"/>
        <v>0</v>
      </c>
      <c r="T17" s="196">
        <f t="shared" si="6"/>
        <v>0</v>
      </c>
      <c r="U17" s="196">
        <f t="shared" si="6"/>
        <v>0</v>
      </c>
      <c r="V17" s="196">
        <f t="shared" si="6"/>
        <v>0</v>
      </c>
      <c r="W17" s="197">
        <f t="shared" si="1"/>
        <v>0</v>
      </c>
      <c r="X17" s="189">
        <f>NPV('1сел'!$X$1,B17:V17)</f>
        <v>0</v>
      </c>
      <c r="Y17" s="198"/>
    </row>
    <row r="18" spans="1:25" x14ac:dyDescent="0.25">
      <c r="A18" s="48" t="s">
        <v>272</v>
      </c>
      <c r="B18" s="48">
        <f>B12-B7</f>
        <v>1865603</v>
      </c>
      <c r="C18" s="48">
        <f t="shared" ref="C18:V18" si="7">C12-C7</f>
        <v>1865603</v>
      </c>
      <c r="D18" s="48">
        <f t="shared" si="7"/>
        <v>1865603</v>
      </c>
      <c r="E18" s="48">
        <f t="shared" si="7"/>
        <v>1865603</v>
      </c>
      <c r="F18" s="195">
        <f t="shared" si="7"/>
        <v>1865603</v>
      </c>
      <c r="G18" s="48">
        <f t="shared" si="7"/>
        <v>1865603</v>
      </c>
      <c r="H18" s="48">
        <f t="shared" si="7"/>
        <v>1865603</v>
      </c>
      <c r="I18" s="195">
        <f t="shared" si="7"/>
        <v>1865603</v>
      </c>
      <c r="J18" s="48">
        <f t="shared" si="7"/>
        <v>1865603</v>
      </c>
      <c r="K18" s="48">
        <f t="shared" si="7"/>
        <v>1865603</v>
      </c>
      <c r="L18" s="48">
        <f t="shared" si="7"/>
        <v>1865603</v>
      </c>
      <c r="M18" s="48">
        <f t="shared" si="7"/>
        <v>1865603</v>
      </c>
      <c r="N18" s="195">
        <f t="shared" si="7"/>
        <v>1866512</v>
      </c>
      <c r="O18" s="48">
        <f t="shared" si="7"/>
        <v>1866512</v>
      </c>
      <c r="P18" s="48">
        <f t="shared" si="7"/>
        <v>1869993.7</v>
      </c>
      <c r="Q18" s="48">
        <f t="shared" si="7"/>
        <v>1870000</v>
      </c>
      <c r="R18" s="48">
        <f t="shared" si="7"/>
        <v>1869200</v>
      </c>
      <c r="S18" s="48">
        <f t="shared" si="7"/>
        <v>1869200</v>
      </c>
      <c r="T18" s="48">
        <f t="shared" si="7"/>
        <v>1929500</v>
      </c>
      <c r="U18" s="48">
        <f t="shared" si="7"/>
        <v>1929500</v>
      </c>
      <c r="V18" s="48">
        <f t="shared" si="7"/>
        <v>1929500</v>
      </c>
      <c r="W18" s="277">
        <f t="shared" si="1"/>
        <v>39387153.700000003</v>
      </c>
      <c r="X18" s="189">
        <f>NPV('1сел'!$X$1,B18:V18)</f>
        <v>31878126.497961242</v>
      </c>
    </row>
    <row r="19" spans="1:25" s="21" customFormat="1" ht="12.75" x14ac:dyDescent="0.2">
      <c r="A19" s="21" t="s">
        <v>85</v>
      </c>
      <c r="B19" s="248">
        <f>'1сел'!B13</f>
        <v>-4397</v>
      </c>
      <c r="C19" s="248">
        <f>'1сел'!C13</f>
        <v>-4397</v>
      </c>
      <c r="D19" s="248">
        <f>'1сел'!D13</f>
        <v>-4397</v>
      </c>
      <c r="E19" s="248">
        <f>'1сел'!E13</f>
        <v>-4397</v>
      </c>
      <c r="F19" s="259">
        <f>'1сел'!F13</f>
        <v>-4397</v>
      </c>
      <c r="G19" s="248">
        <f>'1сел'!G13</f>
        <v>-4397</v>
      </c>
      <c r="H19" s="248">
        <f>'1сел'!H13</f>
        <v>-4397</v>
      </c>
      <c r="I19" s="259">
        <f>'1сел'!I13</f>
        <v>-4397</v>
      </c>
      <c r="J19" s="248">
        <f>'1сел'!J13</f>
        <v>-4397</v>
      </c>
      <c r="K19" s="248">
        <f>'1сел'!K13</f>
        <v>-4397</v>
      </c>
      <c r="L19" s="248">
        <f>'1сел'!L13</f>
        <v>-4397</v>
      </c>
      <c r="M19" s="248">
        <f>'1сел'!M13</f>
        <v>-4397</v>
      </c>
      <c r="N19" s="259">
        <f>'1сел'!N13</f>
        <v>-3488</v>
      </c>
      <c r="O19" s="248">
        <f>'1сел'!O13</f>
        <v>-3488</v>
      </c>
      <c r="P19" s="249">
        <f>'1сел'!P13</f>
        <v>-6.3</v>
      </c>
      <c r="Q19" s="248">
        <f>'1сел'!Q13</f>
        <v>0</v>
      </c>
      <c r="R19" s="248">
        <f>'1сел'!R13</f>
        <v>0</v>
      </c>
      <c r="S19" s="248">
        <f>'1сел'!S13</f>
        <v>-2040</v>
      </c>
      <c r="T19" s="248">
        <f>'1сел'!T13</f>
        <v>8500</v>
      </c>
      <c r="U19" s="248">
        <f>'1сел'!U13</f>
        <v>8500</v>
      </c>
      <c r="V19" s="248">
        <f>'1сел'!V13</f>
        <v>8500</v>
      </c>
      <c r="W19" s="189">
        <f t="shared" si="1"/>
        <v>-36286.300000000003</v>
      </c>
      <c r="X19" s="189">
        <f>NPV('1сел'!$X$1,B19:V19)</f>
        <v>-36109.574767312348</v>
      </c>
      <c r="Y19" s="190">
        <f>W19/$W$22</f>
        <v>-9.2127246046723097E-4</v>
      </c>
    </row>
    <row r="20" spans="1:25" x14ac:dyDescent="0.25">
      <c r="A20" t="s">
        <v>86</v>
      </c>
      <c r="B20" s="48">
        <f>'3товар'!B7*1000</f>
        <v>1870000</v>
      </c>
      <c r="C20" s="48">
        <f>'3товар'!C7*1000</f>
        <v>1870000</v>
      </c>
      <c r="D20" s="48">
        <f>'3товар'!D7*1000</f>
        <v>1870000</v>
      </c>
      <c r="E20" s="48">
        <f>'3товар'!E7*1000</f>
        <v>1870000</v>
      </c>
      <c r="F20" s="195">
        <f>'3товар'!F7*1000</f>
        <v>1870000</v>
      </c>
      <c r="G20" s="48">
        <f>'3товар'!G7*1000</f>
        <v>1870000</v>
      </c>
      <c r="H20" s="48">
        <f>'3товар'!H7*1000</f>
        <v>1870000</v>
      </c>
      <c r="I20" s="195">
        <f>'3товар'!I7*1000</f>
        <v>1870000</v>
      </c>
      <c r="J20" s="48">
        <f>'3товар'!J7*1000</f>
        <v>1870000</v>
      </c>
      <c r="K20" s="48">
        <f>'3товар'!K7*1000</f>
        <v>1870000</v>
      </c>
      <c r="L20" s="48">
        <f>'3товар'!L7*1000</f>
        <v>1870000</v>
      </c>
      <c r="M20" s="48">
        <f>'3товар'!M7*1000</f>
        <v>1870000</v>
      </c>
      <c r="N20" s="48">
        <f>'3товар'!N7*1000</f>
        <v>1870000</v>
      </c>
      <c r="O20" s="48">
        <f>'3товар'!O7*1000</f>
        <v>1870000</v>
      </c>
      <c r="P20" s="48">
        <f>'3товар'!P7*1000</f>
        <v>1870000</v>
      </c>
      <c r="Q20" s="48">
        <f>'3товар'!Q7*1000</f>
        <v>1870000</v>
      </c>
      <c r="R20" s="48">
        <f>'3товар'!R7*1000</f>
        <v>1870000</v>
      </c>
      <c r="S20" s="48">
        <f>'3товар'!S7*1000</f>
        <v>1870000</v>
      </c>
      <c r="T20" s="48">
        <f>'3товар'!T7*1000</f>
        <v>1921000</v>
      </c>
      <c r="U20" s="48">
        <f>'3товар'!U7*1000</f>
        <v>1921000</v>
      </c>
      <c r="V20" s="48">
        <f>'3товар'!V7*1000</f>
        <v>1921000</v>
      </c>
      <c r="W20" s="189">
        <f t="shared" si="1"/>
        <v>39423000</v>
      </c>
      <c r="X20" s="189">
        <f>NPV('1сел'!$X$1,B20:V20)</f>
        <v>31913939.205153566</v>
      </c>
      <c r="Y20" s="190">
        <f>W20/$W$22</f>
        <v>1.0009101013054416</v>
      </c>
    </row>
    <row r="21" spans="1:25" x14ac:dyDescent="0.25">
      <c r="A21" t="s">
        <v>87</v>
      </c>
      <c r="B21" s="215">
        <f>'2сем'!B13</f>
        <v>0</v>
      </c>
      <c r="C21" s="215">
        <f>'2сем'!C13</f>
        <v>0</v>
      </c>
      <c r="D21" s="215">
        <f>'2сем'!D13</f>
        <v>0</v>
      </c>
      <c r="E21" s="215">
        <f>'2сем'!E13</f>
        <v>0</v>
      </c>
      <c r="F21" s="215">
        <f>'2сем'!F13</f>
        <v>0</v>
      </c>
      <c r="G21" s="215">
        <f>'2сем'!G13</f>
        <v>0</v>
      </c>
      <c r="H21" s="215">
        <f>'2сем'!H13</f>
        <v>0</v>
      </c>
      <c r="I21" s="215">
        <f>'2сем'!I13</f>
        <v>0</v>
      </c>
      <c r="J21" s="215">
        <f>'2сем'!J13</f>
        <v>0</v>
      </c>
      <c r="K21" s="215">
        <f>'2сем'!K13</f>
        <v>0</v>
      </c>
      <c r="L21" s="215">
        <f>'2сем'!L13</f>
        <v>0</v>
      </c>
      <c r="M21" s="215">
        <f>'2сем'!M13</f>
        <v>0</v>
      </c>
      <c r="N21" s="254">
        <f>'2сем'!N13</f>
        <v>0</v>
      </c>
      <c r="O21" s="215">
        <f>'2сем'!O13</f>
        <v>0</v>
      </c>
      <c r="P21" s="215">
        <f>'2сем'!P13</f>
        <v>0</v>
      </c>
      <c r="Q21" s="215">
        <f>'2сем'!Q13</f>
        <v>0</v>
      </c>
      <c r="R21" s="215">
        <f>'2сем'!R13</f>
        <v>-800.00000000000011</v>
      </c>
      <c r="S21" s="215">
        <f>'2сем'!S13</f>
        <v>1240</v>
      </c>
      <c r="T21" s="215">
        <f>'2сем'!T13</f>
        <v>0</v>
      </c>
      <c r="U21" s="215">
        <f>'2сем'!U13</f>
        <v>0</v>
      </c>
      <c r="V21" s="215">
        <f>'2сем'!V13</f>
        <v>0</v>
      </c>
      <c r="W21" s="189">
        <f t="shared" si="1"/>
        <v>439.99999999999989</v>
      </c>
      <c r="X21" s="189">
        <f>NPV('1сел'!$X$1,B21:V21)</f>
        <v>296.86757498542408</v>
      </c>
      <c r="Y21" s="190">
        <f>W21/$W$22</f>
        <v>1.1171155025604194E-5</v>
      </c>
    </row>
    <row r="22" spans="1:25" s="192" customFormat="1" ht="12.75" x14ac:dyDescent="0.2">
      <c r="A22" s="192" t="s">
        <v>88</v>
      </c>
      <c r="B22" s="250">
        <f t="shared" ref="B22:V22" si="8">SUM(B19:B21)</f>
        <v>1865603</v>
      </c>
      <c r="C22" s="250">
        <f t="shared" si="8"/>
        <v>1865603</v>
      </c>
      <c r="D22" s="250">
        <f t="shared" si="8"/>
        <v>1865603</v>
      </c>
      <c r="E22" s="250">
        <f t="shared" si="8"/>
        <v>1865603</v>
      </c>
      <c r="F22" s="260">
        <f t="shared" si="8"/>
        <v>1865603</v>
      </c>
      <c r="G22" s="250">
        <f t="shared" si="8"/>
        <v>1865603</v>
      </c>
      <c r="H22" s="250">
        <f t="shared" si="8"/>
        <v>1865603</v>
      </c>
      <c r="I22" s="260">
        <f t="shared" si="8"/>
        <v>1865603</v>
      </c>
      <c r="J22" s="250">
        <f t="shared" si="8"/>
        <v>1865603</v>
      </c>
      <c r="K22" s="250">
        <f t="shared" si="8"/>
        <v>1865603</v>
      </c>
      <c r="L22" s="250">
        <f t="shared" si="8"/>
        <v>1865603</v>
      </c>
      <c r="M22" s="250">
        <f t="shared" si="8"/>
        <v>1865603</v>
      </c>
      <c r="N22" s="260">
        <f t="shared" si="8"/>
        <v>1866512</v>
      </c>
      <c r="O22" s="250">
        <f t="shared" si="8"/>
        <v>1866512</v>
      </c>
      <c r="P22" s="250">
        <f t="shared" si="8"/>
        <v>1869993.7</v>
      </c>
      <c r="Q22" s="250">
        <f t="shared" si="8"/>
        <v>1870000</v>
      </c>
      <c r="R22" s="250">
        <f t="shared" si="8"/>
        <v>1869200</v>
      </c>
      <c r="S22" s="250">
        <f t="shared" si="8"/>
        <v>1869200</v>
      </c>
      <c r="T22" s="250">
        <f t="shared" si="8"/>
        <v>1929500</v>
      </c>
      <c r="U22" s="250">
        <f t="shared" si="8"/>
        <v>1929500</v>
      </c>
      <c r="V22" s="250">
        <f t="shared" si="8"/>
        <v>1929500</v>
      </c>
      <c r="W22" s="277">
        <f t="shared" si="1"/>
        <v>39387153.700000003</v>
      </c>
      <c r="X22" s="189">
        <f>NPV('1сел'!$X$1,B22:V22)</f>
        <v>31878126.497961242</v>
      </c>
      <c r="Y22" s="190">
        <f>W22/$W$22</f>
        <v>1</v>
      </c>
    </row>
    <row r="23" spans="1:25" s="192" customFormat="1" ht="12.75" x14ac:dyDescent="0.2">
      <c r="A23" s="48" t="s">
        <v>335</v>
      </c>
      <c r="B23" s="250"/>
      <c r="C23" s="250"/>
      <c r="D23" s="250"/>
      <c r="E23" s="250"/>
      <c r="F23" s="260"/>
      <c r="G23" s="250"/>
      <c r="H23" s="250"/>
      <c r="I23" s="260"/>
      <c r="J23" s="250"/>
      <c r="K23" s="250"/>
      <c r="L23" s="250"/>
      <c r="M23" s="250"/>
      <c r="N23" s="260"/>
      <c r="O23" s="250"/>
      <c r="P23" s="250"/>
      <c r="Q23" s="250"/>
      <c r="R23" s="250"/>
      <c r="S23" s="250"/>
      <c r="T23" s="250"/>
      <c r="U23" s="250"/>
      <c r="V23" s="250"/>
      <c r="W23" s="189"/>
      <c r="X23" s="189"/>
      <c r="Y23" s="190"/>
    </row>
    <row r="24" spans="1:25" s="192" customFormat="1" ht="12.75" x14ac:dyDescent="0.2">
      <c r="A24" s="192" t="s">
        <v>320</v>
      </c>
      <c r="B24" s="250">
        <f>B19</f>
        <v>-4397</v>
      </c>
      <c r="C24" s="250">
        <f>B24+C19</f>
        <v>-8794</v>
      </c>
      <c r="D24" s="250">
        <f t="shared" ref="D24:V26" si="9">C24+D19</f>
        <v>-13191</v>
      </c>
      <c r="E24" s="250">
        <f t="shared" si="9"/>
        <v>-17588</v>
      </c>
      <c r="F24" s="250">
        <f t="shared" si="9"/>
        <v>-21985</v>
      </c>
      <c r="G24" s="250">
        <f t="shared" si="9"/>
        <v>-26382</v>
      </c>
      <c r="H24" s="250">
        <f t="shared" si="9"/>
        <v>-30779</v>
      </c>
      <c r="I24" s="250">
        <f t="shared" si="9"/>
        <v>-35176</v>
      </c>
      <c r="J24" s="250">
        <f t="shared" si="9"/>
        <v>-39573</v>
      </c>
      <c r="K24" s="250">
        <f t="shared" si="9"/>
        <v>-43970</v>
      </c>
      <c r="L24" s="250">
        <f t="shared" si="9"/>
        <v>-48367</v>
      </c>
      <c r="M24" s="250">
        <f t="shared" si="9"/>
        <v>-52764</v>
      </c>
      <c r="N24" s="250">
        <f t="shared" si="9"/>
        <v>-56252</v>
      </c>
      <c r="O24" s="250">
        <f t="shared" si="9"/>
        <v>-59740</v>
      </c>
      <c r="P24" s="250">
        <f t="shared" si="9"/>
        <v>-59746.3</v>
      </c>
      <c r="Q24" s="250">
        <f t="shared" si="9"/>
        <v>-59746.3</v>
      </c>
      <c r="R24" s="250">
        <f t="shared" si="9"/>
        <v>-59746.3</v>
      </c>
      <c r="S24" s="250">
        <f t="shared" si="9"/>
        <v>-61786.3</v>
      </c>
      <c r="T24" s="250">
        <f t="shared" si="9"/>
        <v>-53286.3</v>
      </c>
      <c r="U24" s="250">
        <f t="shared" si="9"/>
        <v>-44786.3</v>
      </c>
      <c r="V24" s="250">
        <f t="shared" si="9"/>
        <v>-36286.300000000003</v>
      </c>
      <c r="W24" s="189" t="s">
        <v>338</v>
      </c>
      <c r="X24" s="189"/>
      <c r="Y24" s="190"/>
    </row>
    <row r="25" spans="1:25" s="192" customFormat="1" ht="12.75" x14ac:dyDescent="0.2">
      <c r="A25" s="192" t="s">
        <v>336</v>
      </c>
      <c r="B25" s="250">
        <f>B20</f>
        <v>1870000</v>
      </c>
      <c r="C25" s="250">
        <f t="shared" ref="C25:R26" si="10">B25+C20</f>
        <v>3740000</v>
      </c>
      <c r="D25" s="250">
        <f t="shared" si="10"/>
        <v>5610000</v>
      </c>
      <c r="E25" s="250">
        <f t="shared" si="10"/>
        <v>7480000</v>
      </c>
      <c r="F25" s="250">
        <f t="shared" si="10"/>
        <v>9350000</v>
      </c>
      <c r="G25" s="250">
        <f t="shared" si="10"/>
        <v>11220000</v>
      </c>
      <c r="H25" s="250">
        <f t="shared" si="10"/>
        <v>13090000</v>
      </c>
      <c r="I25" s="250">
        <f t="shared" si="10"/>
        <v>14960000</v>
      </c>
      <c r="J25" s="250">
        <f t="shared" si="10"/>
        <v>16830000</v>
      </c>
      <c r="K25" s="250">
        <f t="shared" si="10"/>
        <v>18700000</v>
      </c>
      <c r="L25" s="250">
        <f t="shared" si="10"/>
        <v>20570000</v>
      </c>
      <c r="M25" s="250">
        <f t="shared" si="10"/>
        <v>22440000</v>
      </c>
      <c r="N25" s="250">
        <f t="shared" si="10"/>
        <v>24310000</v>
      </c>
      <c r="O25" s="250">
        <f t="shared" si="10"/>
        <v>26180000</v>
      </c>
      <c r="P25" s="250">
        <f t="shared" si="10"/>
        <v>28050000</v>
      </c>
      <c r="Q25" s="250">
        <f t="shared" si="10"/>
        <v>29920000</v>
      </c>
      <c r="R25" s="250">
        <f t="shared" si="10"/>
        <v>31790000</v>
      </c>
      <c r="S25" s="250">
        <f t="shared" si="9"/>
        <v>33660000</v>
      </c>
      <c r="T25" s="250">
        <f t="shared" si="9"/>
        <v>35581000</v>
      </c>
      <c r="U25" s="250">
        <f t="shared" si="9"/>
        <v>37502000</v>
      </c>
      <c r="V25" s="250">
        <f t="shared" si="9"/>
        <v>39423000</v>
      </c>
      <c r="W25" s="189"/>
      <c r="X25" s="189"/>
      <c r="Y25" s="190"/>
    </row>
    <row r="26" spans="1:25" s="192" customFormat="1" ht="12.75" x14ac:dyDescent="0.2">
      <c r="A26" s="192" t="s">
        <v>322</v>
      </c>
      <c r="B26" s="250">
        <f>B21</f>
        <v>0</v>
      </c>
      <c r="C26" s="250">
        <f t="shared" si="10"/>
        <v>0</v>
      </c>
      <c r="D26" s="250">
        <f t="shared" si="9"/>
        <v>0</v>
      </c>
      <c r="E26" s="250">
        <f t="shared" si="9"/>
        <v>0</v>
      </c>
      <c r="F26" s="250">
        <f t="shared" si="9"/>
        <v>0</v>
      </c>
      <c r="G26" s="250">
        <f t="shared" si="9"/>
        <v>0</v>
      </c>
      <c r="H26" s="250">
        <f t="shared" si="9"/>
        <v>0</v>
      </c>
      <c r="I26" s="250">
        <f t="shared" si="9"/>
        <v>0</v>
      </c>
      <c r="J26" s="250">
        <f t="shared" si="9"/>
        <v>0</v>
      </c>
      <c r="K26" s="250">
        <f t="shared" si="9"/>
        <v>0</v>
      </c>
      <c r="L26" s="250">
        <f t="shared" si="9"/>
        <v>0</v>
      </c>
      <c r="M26" s="250">
        <f t="shared" si="9"/>
        <v>0</v>
      </c>
      <c r="N26" s="250">
        <f t="shared" si="9"/>
        <v>0</v>
      </c>
      <c r="O26" s="250">
        <f t="shared" si="9"/>
        <v>0</v>
      </c>
      <c r="P26" s="250">
        <f t="shared" si="9"/>
        <v>0</v>
      </c>
      <c r="Q26" s="250">
        <f t="shared" si="9"/>
        <v>0</v>
      </c>
      <c r="R26" s="250">
        <f t="shared" si="9"/>
        <v>-800.00000000000011</v>
      </c>
      <c r="S26" s="250">
        <f t="shared" si="9"/>
        <v>439.99999999999989</v>
      </c>
      <c r="T26" s="250">
        <f t="shared" si="9"/>
        <v>439.99999999999989</v>
      </c>
      <c r="U26" s="250">
        <f t="shared" si="9"/>
        <v>439.99999999999989</v>
      </c>
      <c r="V26" s="250">
        <f t="shared" si="9"/>
        <v>439.99999999999989</v>
      </c>
      <c r="W26" s="189"/>
      <c r="X26" s="189"/>
      <c r="Y26" s="190"/>
    </row>
    <row r="27" spans="1:25" s="192" customFormat="1" ht="12.75" x14ac:dyDescent="0.2">
      <c r="A27" s="192" t="s">
        <v>337</v>
      </c>
      <c r="B27" s="250">
        <f>SUM(B24:B26)</f>
        <v>1865603</v>
      </c>
      <c r="C27" s="250">
        <f>B27+SUM(C19:C21)</f>
        <v>3731206</v>
      </c>
      <c r="D27" s="250">
        <f t="shared" ref="D27:S27" si="11">C27+SUM(D19:D21)</f>
        <v>5596809</v>
      </c>
      <c r="E27" s="250">
        <f t="shared" si="11"/>
        <v>7462412</v>
      </c>
      <c r="F27" s="250">
        <f t="shared" si="11"/>
        <v>9328015</v>
      </c>
      <c r="G27" s="250">
        <f t="shared" si="11"/>
        <v>11193618</v>
      </c>
      <c r="H27" s="250">
        <f t="shared" si="11"/>
        <v>13059221</v>
      </c>
      <c r="I27" s="250">
        <f t="shared" si="11"/>
        <v>14924824</v>
      </c>
      <c r="J27" s="250">
        <f t="shared" si="11"/>
        <v>16790427</v>
      </c>
      <c r="K27" s="250">
        <f t="shared" si="11"/>
        <v>18656030</v>
      </c>
      <c r="L27" s="250">
        <f t="shared" si="11"/>
        <v>20521633</v>
      </c>
      <c r="M27" s="250">
        <f t="shared" si="11"/>
        <v>22387236</v>
      </c>
      <c r="N27" s="250">
        <f t="shared" si="11"/>
        <v>24253748</v>
      </c>
      <c r="O27" s="250">
        <f t="shared" si="11"/>
        <v>26120260</v>
      </c>
      <c r="P27" s="250">
        <f t="shared" si="11"/>
        <v>27990253.699999999</v>
      </c>
      <c r="Q27" s="250">
        <f t="shared" si="11"/>
        <v>29860253.699999999</v>
      </c>
      <c r="R27" s="250">
        <f t="shared" si="11"/>
        <v>31729453.699999999</v>
      </c>
      <c r="S27" s="250">
        <f t="shared" si="11"/>
        <v>33598653.700000003</v>
      </c>
      <c r="T27" s="250">
        <f>S27+SUM(T19:T21)</f>
        <v>35528153.700000003</v>
      </c>
      <c r="U27" s="250">
        <f>T27+SUM(U19:U21)</f>
        <v>37457653.700000003</v>
      </c>
      <c r="V27" s="250">
        <f>U27+SUM(V19:V21)</f>
        <v>39387153.700000003</v>
      </c>
      <c r="W27" s="189"/>
      <c r="X27" s="189"/>
      <c r="Y27" s="190"/>
    </row>
    <row r="28" spans="1:25" s="192" customFormat="1" ht="12.75" x14ac:dyDescent="0.2">
      <c r="A28" s="192" t="s">
        <v>340</v>
      </c>
      <c r="B28" s="250"/>
      <c r="C28" s="250"/>
      <c r="D28" s="250"/>
      <c r="E28" s="250"/>
      <c r="F28" s="260"/>
      <c r="G28" s="250"/>
      <c r="H28" s="250"/>
      <c r="I28" s="260"/>
      <c r="J28" s="250"/>
      <c r="K28" s="250"/>
      <c r="L28" s="250"/>
      <c r="M28" s="250"/>
      <c r="N28" s="260"/>
      <c r="O28" s="250"/>
      <c r="P28" s="250"/>
      <c r="Q28" s="250"/>
      <c r="R28" s="250"/>
      <c r="S28" s="250"/>
      <c r="T28" s="250"/>
      <c r="U28" s="250"/>
      <c r="V28" s="250"/>
      <c r="W28" s="189"/>
      <c r="X28" s="189"/>
      <c r="Y28" s="190"/>
    </row>
    <row r="29" spans="1:25" s="192" customFormat="1" ht="12.75" x14ac:dyDescent="0.2">
      <c r="B29" s="250"/>
      <c r="C29" s="250"/>
      <c r="D29" s="250"/>
      <c r="E29" s="250"/>
      <c r="F29" s="260"/>
      <c r="G29" s="250"/>
      <c r="H29" s="250"/>
      <c r="I29" s="260"/>
      <c r="J29" s="250"/>
      <c r="K29" s="250"/>
      <c r="L29" s="250"/>
      <c r="M29" s="250"/>
      <c r="N29" s="260"/>
      <c r="O29" s="250"/>
      <c r="P29" s="250"/>
      <c r="Q29" s="250"/>
      <c r="R29" s="250"/>
      <c r="S29" s="250"/>
      <c r="T29" s="250"/>
      <c r="U29" s="250"/>
      <c r="V29" s="250"/>
      <c r="W29" s="189"/>
      <c r="X29" s="189"/>
      <c r="Y29" s="190"/>
    </row>
    <row r="30" spans="1:25" s="192" customFormat="1" ht="12.75" x14ac:dyDescent="0.2">
      <c r="B30" s="250"/>
      <c r="C30" s="250"/>
      <c r="D30" s="250"/>
      <c r="E30" s="250"/>
      <c r="F30" s="260"/>
      <c r="G30" s="250"/>
      <c r="H30" s="250"/>
      <c r="I30" s="260"/>
      <c r="J30" s="250"/>
      <c r="K30" s="250"/>
      <c r="L30" s="250"/>
      <c r="M30" s="250"/>
      <c r="N30" s="260"/>
      <c r="O30" s="250"/>
      <c r="P30" s="250"/>
      <c r="Q30" s="250"/>
      <c r="R30" s="250"/>
      <c r="S30" s="250"/>
      <c r="T30" s="250"/>
      <c r="U30" s="250"/>
      <c r="V30" s="250"/>
      <c r="W30" s="189"/>
      <c r="X30" s="189"/>
      <c r="Y30" s="190"/>
    </row>
    <row r="31" spans="1:25" ht="18.75" x14ac:dyDescent="0.3">
      <c r="A31" s="262" t="s">
        <v>339</v>
      </c>
      <c r="B31" s="262"/>
      <c r="C31" s="262"/>
      <c r="W31" s="189"/>
      <c r="X31" s="189"/>
    </row>
    <row r="32" spans="1:25" x14ac:dyDescent="0.25">
      <c r="A32" s="244" t="s">
        <v>259</v>
      </c>
      <c r="B32" s="261">
        <f>('1сел'!B22+'1сел'!B23+'1сел'!B24+'1сел'!B25+'1сел'!B26+'1сел'!B29)*$J$1</f>
        <v>45689.551510408914</v>
      </c>
      <c r="C32" s="261">
        <f>('1сел'!C22+'1сел'!C23+'1сел'!C24+'1сел'!C25+'1сел'!C26+'1сел'!C29)*$J$1</f>
        <v>11696.525186664683</v>
      </c>
      <c r="D32" s="261">
        <f>('1сел'!D22+'1сел'!D23+'1сел'!D24+'1сел'!D25+'1сел'!D26+'1сел'!D29)*$J$1</f>
        <v>16741.413165939</v>
      </c>
      <c r="E32" s="261">
        <f>('1сел'!E22+'1сел'!E23+'1сел'!E24+'1сел'!E25+'1сел'!E26+'1сел'!E29)*$J$1</f>
        <v>16741.413165939</v>
      </c>
      <c r="F32" s="261">
        <f>('1сел'!F22+'1сел'!F23+'1сел'!F24+'1сел'!F25+'1сел'!F26+'1сел'!F29)*$J$1</f>
        <v>213.21790704857494</v>
      </c>
      <c r="G32" s="261">
        <f>('1сел'!G22+'1сел'!G23+'1сел'!G24+'1сел'!G25+'1сел'!G26+'1сел'!G29)*$J$1</f>
        <v>23.98701454296468</v>
      </c>
      <c r="H32" s="261">
        <f>('1сел'!H22+'1сел'!H23+'1сел'!H24+'1сел'!H25+'1сел'!H26+'1сел'!H29)*$J$1</f>
        <v>0</v>
      </c>
      <c r="I32" s="261">
        <f>('1сел'!I22+'1сел'!I23+'1сел'!I24+'1сел'!I25+'1сел'!I26+'1сел'!I29)*$J$1</f>
        <v>0</v>
      </c>
      <c r="J32" s="261">
        <f>('1сел'!J22+'1сел'!J23+'1сел'!J24+'1сел'!J25+'1сел'!J26+'1сел'!J29)*$J$1</f>
        <v>7767.2237567695156</v>
      </c>
      <c r="K32" s="261">
        <f>('1сел'!K22+'1сел'!K23+'1сел'!K24+'1сел'!K25+'1сел'!K26+'1сел'!K29)*$J$1</f>
        <v>0</v>
      </c>
      <c r="L32" s="261">
        <f>('1сел'!L22+'1сел'!L23+'1сел'!L24+'1сел'!L25+'1сел'!L26+'1сел'!L29)*$J$1</f>
        <v>0</v>
      </c>
      <c r="M32" s="261">
        <f>('1сел'!M22+'1сел'!M23+'1сел'!M24+'1сел'!M25+'1сел'!M26+'1сел'!M29)*$J$1</f>
        <v>7767.2237567695156</v>
      </c>
      <c r="N32" s="261">
        <f>('1сел'!N22+'1сел'!N23+'1сел'!N24+'1сел'!N25+'1сел'!N26+'1сел'!N29)*$J$1</f>
        <v>0</v>
      </c>
      <c r="O32" s="261">
        <f>('1сел'!O22+'1сел'!O23+'1сел'!O24+'1сел'!O25+'1сел'!O26+'1сел'!O29)*$J$1</f>
        <v>0</v>
      </c>
      <c r="P32" s="261">
        <f>('1сел'!P22+'1сел'!P23+'1сел'!P24+'1сел'!P25+'1сел'!P26+'1сел'!P29)*$J$1</f>
        <v>7767.2237567695156</v>
      </c>
      <c r="Q32" s="261">
        <f>('1сел'!Q22+'1сел'!Q23+'1сел'!Q24+'1сел'!Q25+'1сел'!Q26+'1сел'!Q29)*$J$1</f>
        <v>0</v>
      </c>
      <c r="R32" s="261">
        <f>('1сел'!R22+'1сел'!R23+'1сел'!R24+'1сел'!R25+'1сел'!R26+'1сел'!R29)*$J$1</f>
        <v>0</v>
      </c>
      <c r="S32" s="261">
        <f>('1сел'!S22+'1сел'!S23+'1сел'!S24+'1сел'!S25+'1сел'!S26+'1сел'!S29)*$J$1</f>
        <v>7767.2237567695156</v>
      </c>
      <c r="T32" s="261">
        <f>('1сел'!T22+'1сел'!T23+'1сел'!T24+'1сел'!T25+'1сел'!T26+'1сел'!T29)*$J$1</f>
        <v>0</v>
      </c>
      <c r="U32" s="261">
        <f>('1сел'!U22+'1сел'!U23+'1сел'!U24+'1сел'!U25+'1сел'!U26+'1сел'!U29)*$J$1</f>
        <v>0</v>
      </c>
      <c r="V32" s="261">
        <f>('1сел'!V22+'1сел'!V23+'1сел'!V24+'1сел'!V25+'1сел'!V26+'1сел'!V29)*$J$1</f>
        <v>0</v>
      </c>
      <c r="W32" s="189">
        <f t="shared" ref="W32:W46" si="12">SUM(B32:V32)</f>
        <v>122175.00297762117</v>
      </c>
      <c r="X32" s="189">
        <f>NPV('1сел'!$X$1,B32:V32)</f>
        <v>111325.84063483479</v>
      </c>
    </row>
    <row r="33" spans="1:25" x14ac:dyDescent="0.25">
      <c r="A33" s="244" t="s">
        <v>261</v>
      </c>
      <c r="B33" s="58">
        <f>('3товар'!B15+'3товар'!B16)*1000</f>
        <v>935000</v>
      </c>
      <c r="C33" s="58">
        <f>('3товар'!C15+'3товар'!C16)*1000</f>
        <v>935000</v>
      </c>
      <c r="D33" s="58">
        <f>('3товар'!D15+'3товар'!D16)*1000</f>
        <v>935000</v>
      </c>
      <c r="E33" s="58">
        <f>('3товар'!E15+'3товар'!E16)*1000</f>
        <v>935000</v>
      </c>
      <c r="F33" s="58">
        <f>('3товар'!F15+'3товар'!F16)*1000</f>
        <v>935000</v>
      </c>
      <c r="G33" s="58">
        <f>('3товар'!G15+'3товар'!G16)*1000</f>
        <v>935000</v>
      </c>
      <c r="H33" s="58">
        <f>('3товар'!H15+'3товар'!H16)*1000</f>
        <v>935000</v>
      </c>
      <c r="I33" s="58">
        <f>('3товар'!I15+'3товар'!I16)*1000</f>
        <v>935000</v>
      </c>
      <c r="J33" s="58">
        <f>('3товар'!J15+'3товар'!J16)*1000</f>
        <v>935000</v>
      </c>
      <c r="K33" s="58">
        <f>('3товар'!K15+'3товар'!K16)*1000</f>
        <v>884000</v>
      </c>
      <c r="L33" s="58">
        <f>('3товар'!L15+'3товар'!L16)*1000</f>
        <v>884000</v>
      </c>
      <c r="M33" s="58">
        <f>('3товар'!M15+'3товар'!M16)*1000</f>
        <v>884000</v>
      </c>
      <c r="N33" s="58">
        <f>('3товар'!N15+'3товар'!N16)*1000</f>
        <v>884000</v>
      </c>
      <c r="O33" s="58">
        <f>('3товар'!O15+'3товар'!O16)*1000</f>
        <v>884000</v>
      </c>
      <c r="P33" s="58">
        <f>('3товар'!P15+'3товар'!P16)*1000</f>
        <v>884000</v>
      </c>
      <c r="Q33" s="58">
        <f>('3товар'!Q15+'3товар'!Q16)*1000</f>
        <v>884000</v>
      </c>
      <c r="R33" s="58">
        <f>('3товар'!R15+'3товар'!R16)*1000</f>
        <v>884000</v>
      </c>
      <c r="S33" s="58">
        <f>('3товар'!S15+'3товар'!S16)*1000</f>
        <v>884000</v>
      </c>
      <c r="T33" s="58">
        <f>('3товар'!T15+'3товар'!T16)*1000</f>
        <v>884000</v>
      </c>
      <c r="U33" s="58">
        <f>('3товар'!U15+'3товар'!U16)*1000</f>
        <v>884000</v>
      </c>
      <c r="V33" s="58">
        <f>('3товар'!V15+'3товар'!V16)*1000</f>
        <v>884000</v>
      </c>
      <c r="W33" s="189">
        <f t="shared" si="12"/>
        <v>19023000</v>
      </c>
      <c r="X33" s="189">
        <f>NPV('1сел'!$X$1,B33:V33)</f>
        <v>15454182.970675552</v>
      </c>
    </row>
    <row r="34" spans="1:25" s="147" customFormat="1" x14ac:dyDescent="0.25">
      <c r="A34" s="268" t="s">
        <v>260</v>
      </c>
      <c r="B34" s="269">
        <f>'2сем'!B29</f>
        <v>0</v>
      </c>
      <c r="C34" s="269">
        <f>'2сем'!C29</f>
        <v>0</v>
      </c>
      <c r="D34" s="269">
        <f>'2сем'!D29</f>
        <v>0</v>
      </c>
      <c r="E34" s="269">
        <f>'2сем'!E29</f>
        <v>0</v>
      </c>
      <c r="F34" s="269">
        <f>'2сем'!F29</f>
        <v>0</v>
      </c>
      <c r="G34" s="269">
        <f>'2сем'!G29</f>
        <v>0</v>
      </c>
      <c r="H34" s="269">
        <f>'2сем'!H29</f>
        <v>0</v>
      </c>
      <c r="I34" s="269">
        <f>'2сем'!I29</f>
        <v>800.00000000000011</v>
      </c>
      <c r="J34" s="269">
        <f>'2сем'!J29</f>
        <v>800.00000000000011</v>
      </c>
      <c r="K34" s="269">
        <f>'2сем'!K29</f>
        <v>0</v>
      </c>
      <c r="L34" s="269">
        <f>'2сем'!L29</f>
        <v>800.00000000000011</v>
      </c>
      <c r="M34" s="269">
        <f>'2сем'!M29</f>
        <v>800.00000000000011</v>
      </c>
      <c r="N34" s="269">
        <f>'2сем'!N29</f>
        <v>0</v>
      </c>
      <c r="O34" s="269">
        <f>'2сем'!O29</f>
        <v>800.00000000000011</v>
      </c>
      <c r="P34" s="269">
        <f>'2сем'!P29</f>
        <v>800.00000000000011</v>
      </c>
      <c r="Q34" s="269">
        <f>'2сем'!Q29</f>
        <v>0</v>
      </c>
      <c r="R34" s="269">
        <f>'2сем'!R29</f>
        <v>800.00000000000011</v>
      </c>
      <c r="S34" s="269">
        <f>'2сем'!S29</f>
        <v>800.00000000000011</v>
      </c>
      <c r="T34" s="269">
        <f>'2сем'!T29</f>
        <v>0</v>
      </c>
      <c r="U34" s="269">
        <f>'2сем'!U29</f>
        <v>0</v>
      </c>
      <c r="V34" s="269">
        <f>'2сем'!V29</f>
        <v>0</v>
      </c>
      <c r="W34" s="270">
        <f t="shared" si="12"/>
        <v>6400.0000000000009</v>
      </c>
      <c r="X34" s="270">
        <f>NPV('1сел'!$X$1,B34:V34)</f>
        <v>4958.5708349960669</v>
      </c>
      <c r="Y34" s="145"/>
    </row>
    <row r="35" spans="1:25" x14ac:dyDescent="0.25">
      <c r="A35" s="40" t="s">
        <v>263</v>
      </c>
      <c r="B35" s="40">
        <f>SUM(B32:B34)</f>
        <v>980689.55151040887</v>
      </c>
      <c r="C35" s="40">
        <f t="shared" ref="C35:V35" si="13">SUM(C32:C34)</f>
        <v>946696.52518666466</v>
      </c>
      <c r="D35" s="40">
        <f t="shared" si="13"/>
        <v>951741.41316593904</v>
      </c>
      <c r="E35" s="40">
        <f t="shared" si="13"/>
        <v>951741.41316593904</v>
      </c>
      <c r="F35" s="40">
        <f t="shared" si="13"/>
        <v>935213.21790704853</v>
      </c>
      <c r="G35" s="40">
        <f t="shared" si="13"/>
        <v>935023.98701454292</v>
      </c>
      <c r="H35" s="40">
        <f t="shared" si="13"/>
        <v>935000</v>
      </c>
      <c r="I35" s="40">
        <f t="shared" si="13"/>
        <v>935800</v>
      </c>
      <c r="J35" s="40">
        <f t="shared" si="13"/>
        <v>943567.22375676956</v>
      </c>
      <c r="K35" s="40">
        <f t="shared" si="13"/>
        <v>884000</v>
      </c>
      <c r="L35" s="40">
        <f t="shared" si="13"/>
        <v>884800</v>
      </c>
      <c r="M35" s="40">
        <f t="shared" si="13"/>
        <v>892567.22375676956</v>
      </c>
      <c r="N35" s="40">
        <f t="shared" si="13"/>
        <v>884000</v>
      </c>
      <c r="O35" s="40">
        <f t="shared" si="13"/>
        <v>884800</v>
      </c>
      <c r="P35" s="40">
        <f t="shared" si="13"/>
        <v>892567.22375676956</v>
      </c>
      <c r="Q35" s="40">
        <f t="shared" si="13"/>
        <v>884000</v>
      </c>
      <c r="R35" s="40">
        <f t="shared" si="13"/>
        <v>884800</v>
      </c>
      <c r="S35" s="40">
        <f t="shared" si="13"/>
        <v>892567.22375676956</v>
      </c>
      <c r="T35" s="40">
        <f t="shared" si="13"/>
        <v>884000</v>
      </c>
      <c r="U35" s="40">
        <f t="shared" si="13"/>
        <v>884000</v>
      </c>
      <c r="V35" s="40">
        <f t="shared" si="13"/>
        <v>884000</v>
      </c>
      <c r="W35" s="189">
        <f t="shared" si="12"/>
        <v>19151575.002977621</v>
      </c>
      <c r="X35" s="189">
        <f>NPV('1сел'!$X$1,B35:V35)</f>
        <v>15570467.382145381</v>
      </c>
    </row>
    <row r="36" spans="1:25" x14ac:dyDescent="0.25">
      <c r="A36" s="201" t="s">
        <v>341</v>
      </c>
      <c r="W36" s="189">
        <f t="shared" si="12"/>
        <v>0</v>
      </c>
      <c r="X36" s="189">
        <f>NPV('1сел'!$X$1,B36:V36)</f>
        <v>0</v>
      </c>
    </row>
    <row r="37" spans="1:25" x14ac:dyDescent="0.25">
      <c r="A37" s="191" t="s">
        <v>265</v>
      </c>
      <c r="B37" s="215">
        <f>'1сел'!B30</f>
        <v>0</v>
      </c>
      <c r="C37" s="215">
        <f>'1сел'!C30</f>
        <v>0</v>
      </c>
      <c r="D37" s="215">
        <f>'1сел'!D30</f>
        <v>0</v>
      </c>
      <c r="E37" s="215">
        <f>'1сел'!E30</f>
        <v>0</v>
      </c>
      <c r="F37" s="215">
        <f>'1сел'!F30</f>
        <v>0</v>
      </c>
      <c r="G37" s="215">
        <f>'1сел'!G30</f>
        <v>0</v>
      </c>
      <c r="H37" s="215">
        <f>'1сел'!H30</f>
        <v>0</v>
      </c>
      <c r="I37" s="215">
        <f>'1сел'!I30</f>
        <v>0</v>
      </c>
      <c r="J37" s="215">
        <f>'1сел'!J30</f>
        <v>0</v>
      </c>
      <c r="K37" s="215">
        <f>'1сел'!K30</f>
        <v>8500</v>
      </c>
      <c r="L37" s="215">
        <f>'1сел'!L30</f>
        <v>8500</v>
      </c>
      <c r="M37" s="215">
        <f>'1сел'!M30</f>
        <v>8500</v>
      </c>
      <c r="N37" s="215">
        <f>'1сел'!N30</f>
        <v>8500</v>
      </c>
      <c r="O37" s="215">
        <f>'1сел'!O30</f>
        <v>8500</v>
      </c>
      <c r="P37" s="215">
        <f>'1сел'!P30</f>
        <v>8500</v>
      </c>
      <c r="Q37" s="215">
        <f>'1сел'!Q30</f>
        <v>8500</v>
      </c>
      <c r="R37" s="215">
        <f>'1сел'!R30</f>
        <v>8500</v>
      </c>
      <c r="S37" s="215">
        <f>'1сел'!S30</f>
        <v>8500</v>
      </c>
      <c r="T37" s="215">
        <f>'1сел'!T30</f>
        <v>8500</v>
      </c>
      <c r="U37" s="215">
        <f>'1сел'!U30</f>
        <v>8500</v>
      </c>
      <c r="V37" s="215">
        <f>'1сел'!V30</f>
        <v>8500</v>
      </c>
      <c r="W37" s="189">
        <f t="shared" si="12"/>
        <v>102000</v>
      </c>
      <c r="X37" s="189">
        <f>NPV('1сел'!$X$1,B37:V37)</f>
        <v>75216.265867522423</v>
      </c>
    </row>
    <row r="38" spans="1:25" x14ac:dyDescent="0.25">
      <c r="A38" s="191" t="s">
        <v>267</v>
      </c>
      <c r="B38" s="245">
        <f>'3товар'!B17*1000</f>
        <v>2805000</v>
      </c>
      <c r="C38" s="245">
        <f>'3товар'!C17*1000</f>
        <v>2805000</v>
      </c>
      <c r="D38" s="245">
        <f>'3товар'!D17*1000</f>
        <v>2805000</v>
      </c>
      <c r="E38" s="245">
        <f>'3товар'!E17*1000</f>
        <v>2805000</v>
      </c>
      <c r="F38" s="245">
        <f>'3товар'!F17*1000</f>
        <v>2805000</v>
      </c>
      <c r="G38" s="245">
        <f>'3товар'!G17*1000</f>
        <v>2805000</v>
      </c>
      <c r="H38" s="245">
        <f>'3товар'!H17*1000</f>
        <v>2805000</v>
      </c>
      <c r="I38" s="245">
        <f>'3товар'!I17*1000</f>
        <v>2805000</v>
      </c>
      <c r="J38" s="245">
        <f>'3товар'!J17*1000</f>
        <v>2805000</v>
      </c>
      <c r="K38" s="245">
        <f>'3товар'!K17*1000</f>
        <v>2805000</v>
      </c>
      <c r="L38" s="245">
        <f>'3товар'!L17*1000</f>
        <v>2805000</v>
      </c>
      <c r="M38" s="245">
        <f>'3товар'!M17*1000</f>
        <v>2805000</v>
      </c>
      <c r="N38" s="245">
        <f>'3товар'!N17*1000</f>
        <v>2805000</v>
      </c>
      <c r="O38" s="245">
        <f>'3товар'!O17*1000</f>
        <v>2805000</v>
      </c>
      <c r="P38" s="245">
        <f>'3товар'!P17*1000</f>
        <v>2805000</v>
      </c>
      <c r="Q38" s="245">
        <f>'3товар'!Q17*1000</f>
        <v>2805000</v>
      </c>
      <c r="R38" s="245">
        <f>'3товар'!R17*1000</f>
        <v>2805000</v>
      </c>
      <c r="S38" s="245">
        <f>'3товар'!S17*1000</f>
        <v>2805000</v>
      </c>
      <c r="T38" s="245">
        <f>'3товар'!T17*1000</f>
        <v>2805000</v>
      </c>
      <c r="U38" s="245">
        <f>'3товар'!U17*1000</f>
        <v>2805000</v>
      </c>
      <c r="V38" s="245">
        <f>'3товар'!V17*1000</f>
        <v>2805000</v>
      </c>
      <c r="W38" s="189">
        <f t="shared" si="12"/>
        <v>58905000</v>
      </c>
      <c r="X38" s="189">
        <f>NPV('1сел'!$X$1,B38:V38)</f>
        <v>47716441.697642058</v>
      </c>
    </row>
    <row r="39" spans="1:25" s="145" customFormat="1" x14ac:dyDescent="0.25">
      <c r="A39" s="267" t="s">
        <v>266</v>
      </c>
      <c r="B39" s="271">
        <f>'2сем'!B30</f>
        <v>0</v>
      </c>
      <c r="C39" s="271">
        <f>'2сем'!C30</f>
        <v>0</v>
      </c>
      <c r="D39" s="271">
        <f>'2сем'!D30</f>
        <v>0</v>
      </c>
      <c r="E39" s="271">
        <f>'2сем'!E30</f>
        <v>0</v>
      </c>
      <c r="F39" s="271">
        <f>'2сем'!F30</f>
        <v>0</v>
      </c>
      <c r="G39" s="271">
        <f>'2сем'!G30</f>
        <v>0</v>
      </c>
      <c r="H39" s="271">
        <f>'2сем'!H30</f>
        <v>0</v>
      </c>
      <c r="I39" s="271">
        <f>'2сем'!I30</f>
        <v>0</v>
      </c>
      <c r="J39" s="271">
        <f>'2сем'!J30</f>
        <v>2040</v>
      </c>
      <c r="K39" s="271">
        <f>'2сем'!K30</f>
        <v>0</v>
      </c>
      <c r="L39" s="271">
        <f>'2сем'!L30</f>
        <v>0</v>
      </c>
      <c r="M39" s="271">
        <f>'2сем'!M30</f>
        <v>2040</v>
      </c>
      <c r="N39" s="271">
        <f>'2сем'!N30</f>
        <v>0</v>
      </c>
      <c r="O39" s="271">
        <f>'2сем'!O30</f>
        <v>0</v>
      </c>
      <c r="P39" s="271">
        <f>'2сем'!P30</f>
        <v>2040</v>
      </c>
      <c r="Q39" s="271">
        <f>'2сем'!Q30</f>
        <v>0</v>
      </c>
      <c r="R39" s="271">
        <f>'2сем'!R30</f>
        <v>0</v>
      </c>
      <c r="S39" s="271">
        <f>'2сем'!S30</f>
        <v>2040</v>
      </c>
      <c r="T39" s="271">
        <f>'2сем'!T30</f>
        <v>0</v>
      </c>
      <c r="U39" s="271">
        <f>'2сем'!U30</f>
        <v>0</v>
      </c>
      <c r="V39" s="271">
        <f>'2сем'!V30</f>
        <v>0</v>
      </c>
      <c r="W39" s="270">
        <f t="shared" si="12"/>
        <v>8160</v>
      </c>
      <c r="X39" s="270">
        <f>NPV('1сел'!$X$1,B39:V39)</f>
        <v>6259.5819946732508</v>
      </c>
    </row>
    <row r="40" spans="1:25" x14ac:dyDescent="0.25">
      <c r="A40" s="194" t="s">
        <v>263</v>
      </c>
      <c r="B40" s="194">
        <f>SUM(B37:B39)</f>
        <v>2805000</v>
      </c>
      <c r="C40" s="194">
        <f t="shared" ref="C40:V40" si="14">SUM(C37:C39)</f>
        <v>2805000</v>
      </c>
      <c r="D40" s="194">
        <f t="shared" si="14"/>
        <v>2805000</v>
      </c>
      <c r="E40" s="194">
        <f t="shared" si="14"/>
        <v>2805000</v>
      </c>
      <c r="F40" s="194">
        <f t="shared" si="14"/>
        <v>2805000</v>
      </c>
      <c r="G40" s="194">
        <f t="shared" si="14"/>
        <v>2805000</v>
      </c>
      <c r="H40" s="194">
        <f t="shared" si="14"/>
        <v>2805000</v>
      </c>
      <c r="I40" s="194">
        <f t="shared" si="14"/>
        <v>2805000</v>
      </c>
      <c r="J40" s="194">
        <f t="shared" si="14"/>
        <v>2807040</v>
      </c>
      <c r="K40" s="194">
        <f t="shared" si="14"/>
        <v>2813500</v>
      </c>
      <c r="L40" s="194">
        <f t="shared" si="14"/>
        <v>2813500</v>
      </c>
      <c r="M40" s="194">
        <f t="shared" si="14"/>
        <v>2815540</v>
      </c>
      <c r="N40" s="194">
        <f t="shared" si="14"/>
        <v>2813500</v>
      </c>
      <c r="O40" s="194">
        <f t="shared" si="14"/>
        <v>2813500</v>
      </c>
      <c r="P40" s="194">
        <f t="shared" si="14"/>
        <v>2815540</v>
      </c>
      <c r="Q40" s="194">
        <f t="shared" si="14"/>
        <v>2813500</v>
      </c>
      <c r="R40" s="194">
        <f t="shared" si="14"/>
        <v>2813500</v>
      </c>
      <c r="S40" s="194">
        <f t="shared" si="14"/>
        <v>2815540</v>
      </c>
      <c r="T40" s="194">
        <f t="shared" si="14"/>
        <v>2813500</v>
      </c>
      <c r="U40" s="194">
        <f t="shared" si="14"/>
        <v>2813500</v>
      </c>
      <c r="V40" s="194">
        <f t="shared" si="14"/>
        <v>2813500</v>
      </c>
      <c r="W40" s="189">
        <f t="shared" si="12"/>
        <v>59015160</v>
      </c>
      <c r="X40" s="189">
        <f>NPV('1сел'!$X$1,B40:V40)</f>
        <v>47797917.545504265</v>
      </c>
    </row>
    <row r="41" spans="1:25" x14ac:dyDescent="0.25">
      <c r="A41" s="48" t="s">
        <v>268</v>
      </c>
      <c r="B41" s="37">
        <f>B37-B32</f>
        <v>-45689.551510408914</v>
      </c>
      <c r="C41" s="37">
        <f t="shared" ref="C41:V43" si="15">C37-C32</f>
        <v>-11696.525186664683</v>
      </c>
      <c r="D41" s="37">
        <f t="shared" si="15"/>
        <v>-16741.413165939</v>
      </c>
      <c r="E41" s="37">
        <f t="shared" si="15"/>
        <v>-16741.413165939</v>
      </c>
      <c r="F41" s="37">
        <f t="shared" si="15"/>
        <v>-213.21790704857494</v>
      </c>
      <c r="G41" s="37">
        <f t="shared" si="15"/>
        <v>-23.98701454296468</v>
      </c>
      <c r="H41" s="37">
        <f t="shared" si="15"/>
        <v>0</v>
      </c>
      <c r="I41" s="37">
        <f t="shared" si="15"/>
        <v>0</v>
      </c>
      <c r="J41" s="37">
        <f t="shared" si="15"/>
        <v>-7767.2237567695156</v>
      </c>
      <c r="K41" s="37">
        <f t="shared" si="15"/>
        <v>8500</v>
      </c>
      <c r="L41" s="37">
        <f t="shared" si="15"/>
        <v>8500</v>
      </c>
      <c r="M41" s="37">
        <f t="shared" si="15"/>
        <v>732.7762432304844</v>
      </c>
      <c r="N41" s="37">
        <f t="shared" si="15"/>
        <v>8500</v>
      </c>
      <c r="O41" s="37">
        <f t="shared" si="15"/>
        <v>8500</v>
      </c>
      <c r="P41" s="37">
        <f t="shared" si="15"/>
        <v>732.7762432304844</v>
      </c>
      <c r="Q41" s="37">
        <f t="shared" si="15"/>
        <v>8500</v>
      </c>
      <c r="R41" s="37">
        <f t="shared" si="15"/>
        <v>8500</v>
      </c>
      <c r="S41" s="37">
        <f t="shared" si="15"/>
        <v>732.7762432304844</v>
      </c>
      <c r="T41" s="37">
        <f t="shared" si="15"/>
        <v>8500</v>
      </c>
      <c r="U41" s="37">
        <f t="shared" si="15"/>
        <v>8500</v>
      </c>
      <c r="V41" s="37">
        <f t="shared" si="15"/>
        <v>8500</v>
      </c>
      <c r="W41" s="189">
        <f t="shared" si="12"/>
        <v>-20175.002977621174</v>
      </c>
      <c r="X41" s="189">
        <f>NPV('1сел'!$X$1,B41:V41)</f>
        <v>-36109.574767312362</v>
      </c>
    </row>
    <row r="42" spans="1:25" x14ac:dyDescent="0.25">
      <c r="A42" s="245" t="s">
        <v>269</v>
      </c>
      <c r="B42" s="245">
        <f>B38-B33</f>
        <v>1870000</v>
      </c>
      <c r="C42" s="245">
        <f t="shared" si="15"/>
        <v>1870000</v>
      </c>
      <c r="D42" s="245">
        <f t="shared" si="15"/>
        <v>1870000</v>
      </c>
      <c r="E42" s="245">
        <f t="shared" si="15"/>
        <v>1870000</v>
      </c>
      <c r="F42" s="245">
        <f t="shared" si="15"/>
        <v>1870000</v>
      </c>
      <c r="G42" s="245">
        <f t="shared" si="15"/>
        <v>1870000</v>
      </c>
      <c r="H42" s="245">
        <f t="shared" si="15"/>
        <v>1870000</v>
      </c>
      <c r="I42" s="245">
        <f t="shared" si="15"/>
        <v>1870000</v>
      </c>
      <c r="J42" s="245">
        <f t="shared" si="15"/>
        <v>1870000</v>
      </c>
      <c r="K42" s="245">
        <f t="shared" si="15"/>
        <v>1921000</v>
      </c>
      <c r="L42" s="245">
        <f t="shared" si="15"/>
        <v>1921000</v>
      </c>
      <c r="M42" s="245">
        <f t="shared" si="15"/>
        <v>1921000</v>
      </c>
      <c r="N42" s="245">
        <f t="shared" si="15"/>
        <v>1921000</v>
      </c>
      <c r="O42" s="245">
        <f t="shared" si="15"/>
        <v>1921000</v>
      </c>
      <c r="P42" s="245">
        <f t="shared" si="15"/>
        <v>1921000</v>
      </c>
      <c r="Q42" s="245">
        <f t="shared" si="15"/>
        <v>1921000</v>
      </c>
      <c r="R42" s="245">
        <f t="shared" si="15"/>
        <v>1921000</v>
      </c>
      <c r="S42" s="245">
        <f t="shared" si="15"/>
        <v>1921000</v>
      </c>
      <c r="T42" s="245">
        <f t="shared" si="15"/>
        <v>1921000</v>
      </c>
      <c r="U42" s="245">
        <f t="shared" si="15"/>
        <v>1921000</v>
      </c>
      <c r="V42" s="245">
        <f t="shared" si="15"/>
        <v>1921000</v>
      </c>
      <c r="W42" s="189">
        <f t="shared" si="12"/>
        <v>39882000</v>
      </c>
      <c r="X42" s="189">
        <f>NPV('1сел'!$X$1,B42:V42)</f>
        <v>32262258.726966508</v>
      </c>
    </row>
    <row r="43" spans="1:25" s="147" customFormat="1" x14ac:dyDescent="0.25">
      <c r="A43" s="272" t="s">
        <v>270</v>
      </c>
      <c r="B43" s="273">
        <f>B39-B34</f>
        <v>0</v>
      </c>
      <c r="C43" s="273">
        <f t="shared" si="15"/>
        <v>0</v>
      </c>
      <c r="D43" s="273">
        <f t="shared" si="15"/>
        <v>0</v>
      </c>
      <c r="E43" s="273">
        <f t="shared" si="15"/>
        <v>0</v>
      </c>
      <c r="F43" s="273">
        <f t="shared" si="15"/>
        <v>0</v>
      </c>
      <c r="G43" s="273">
        <f t="shared" si="15"/>
        <v>0</v>
      </c>
      <c r="H43" s="273">
        <f t="shared" si="15"/>
        <v>0</v>
      </c>
      <c r="I43" s="273">
        <f t="shared" si="15"/>
        <v>-800.00000000000011</v>
      </c>
      <c r="J43" s="273">
        <f t="shared" si="15"/>
        <v>1240</v>
      </c>
      <c r="K43" s="273">
        <f t="shared" si="15"/>
        <v>0</v>
      </c>
      <c r="L43" s="273">
        <f t="shared" si="15"/>
        <v>-800.00000000000011</v>
      </c>
      <c r="M43" s="273">
        <f t="shared" si="15"/>
        <v>1240</v>
      </c>
      <c r="N43" s="273">
        <f t="shared" si="15"/>
        <v>0</v>
      </c>
      <c r="O43" s="273">
        <f t="shared" si="15"/>
        <v>-800.00000000000011</v>
      </c>
      <c r="P43" s="273">
        <f t="shared" si="15"/>
        <v>1240</v>
      </c>
      <c r="Q43" s="273">
        <f t="shared" si="15"/>
        <v>0</v>
      </c>
      <c r="R43" s="273">
        <f t="shared" si="15"/>
        <v>-800.00000000000011</v>
      </c>
      <c r="S43" s="273">
        <f t="shared" si="15"/>
        <v>1240</v>
      </c>
      <c r="T43" s="273">
        <f t="shared" si="15"/>
        <v>0</v>
      </c>
      <c r="U43" s="273">
        <f t="shared" si="15"/>
        <v>0</v>
      </c>
      <c r="V43" s="273">
        <f t="shared" si="15"/>
        <v>0</v>
      </c>
      <c r="W43" s="270">
        <f t="shared" si="12"/>
        <v>1759.9999999999995</v>
      </c>
      <c r="X43" s="270">
        <f>NPV('1сел'!$X$1,B43:V43)</f>
        <v>1301.0111596771853</v>
      </c>
      <c r="Y43" s="145"/>
    </row>
    <row r="44" spans="1:25" x14ac:dyDescent="0.25">
      <c r="A44" s="48" t="s">
        <v>271</v>
      </c>
      <c r="B44" s="37">
        <f>SUM(B41:B43)</f>
        <v>1824310.448489591</v>
      </c>
      <c r="C44" s="37">
        <f t="shared" ref="C44:V44" si="16">SUM(C41:C43)</f>
        <v>1858303.4748133353</v>
      </c>
      <c r="D44" s="37">
        <f t="shared" si="16"/>
        <v>1853258.586834061</v>
      </c>
      <c r="E44" s="37">
        <f t="shared" si="16"/>
        <v>1853258.586834061</v>
      </c>
      <c r="F44" s="37">
        <f t="shared" si="16"/>
        <v>1869786.7820929515</v>
      </c>
      <c r="G44" s="37">
        <f t="shared" si="16"/>
        <v>1869976.012985457</v>
      </c>
      <c r="H44" s="37">
        <f t="shared" si="16"/>
        <v>1870000</v>
      </c>
      <c r="I44" s="37">
        <f t="shared" si="16"/>
        <v>1869200</v>
      </c>
      <c r="J44" s="37">
        <f>SUM(J41:J43)</f>
        <v>1863472.7762432306</v>
      </c>
      <c r="K44" s="37">
        <f t="shared" si="16"/>
        <v>1929500</v>
      </c>
      <c r="L44" s="37">
        <f t="shared" si="16"/>
        <v>1928700</v>
      </c>
      <c r="M44" s="37">
        <f t="shared" si="16"/>
        <v>1922972.7762432306</v>
      </c>
      <c r="N44" s="37">
        <f t="shared" si="16"/>
        <v>1929500</v>
      </c>
      <c r="O44" s="37">
        <f t="shared" si="16"/>
        <v>1928700</v>
      </c>
      <c r="P44" s="37">
        <f t="shared" si="16"/>
        <v>1922972.7762432306</v>
      </c>
      <c r="Q44" s="37">
        <f t="shared" si="16"/>
        <v>1929500</v>
      </c>
      <c r="R44" s="37">
        <f t="shared" si="16"/>
        <v>1928700</v>
      </c>
      <c r="S44" s="37">
        <f t="shared" si="16"/>
        <v>1922972.7762432306</v>
      </c>
      <c r="T44" s="37">
        <f t="shared" si="16"/>
        <v>1929500</v>
      </c>
      <c r="U44" s="37">
        <f t="shared" si="16"/>
        <v>1929500</v>
      </c>
      <c r="V44" s="37">
        <f t="shared" si="16"/>
        <v>1929500</v>
      </c>
      <c r="W44" s="189">
        <f t="shared" si="12"/>
        <v>39863584.997022383</v>
      </c>
      <c r="X44" s="189">
        <f>NPV('1сел'!$X$1,B44:V44)</f>
        <v>32227450.163358875</v>
      </c>
    </row>
    <row r="45" spans="1:25" x14ac:dyDescent="0.25">
      <c r="A45" s="195" t="s">
        <v>318</v>
      </c>
      <c r="B45" s="196">
        <f t="shared" ref="B45:V45" si="17">B51-B44</f>
        <v>0</v>
      </c>
      <c r="C45" s="196">
        <f t="shared" si="17"/>
        <v>0</v>
      </c>
      <c r="D45" s="196">
        <f t="shared" si="17"/>
        <v>0</v>
      </c>
      <c r="E45" s="196">
        <f t="shared" si="17"/>
        <v>0</v>
      </c>
      <c r="F45" s="196">
        <f t="shared" si="17"/>
        <v>0</v>
      </c>
      <c r="G45" s="196">
        <f t="shared" si="17"/>
        <v>0</v>
      </c>
      <c r="H45" s="196">
        <f t="shared" si="17"/>
        <v>0</v>
      </c>
      <c r="I45" s="196">
        <f t="shared" si="17"/>
        <v>0</v>
      </c>
      <c r="J45" s="263">
        <f t="shared" si="17"/>
        <v>0</v>
      </c>
      <c r="K45" s="196">
        <f t="shared" si="17"/>
        <v>0</v>
      </c>
      <c r="L45" s="196">
        <f t="shared" si="17"/>
        <v>0</v>
      </c>
      <c r="M45" s="196">
        <f t="shared" si="17"/>
        <v>0</v>
      </c>
      <c r="N45" s="196">
        <f t="shared" si="17"/>
        <v>0</v>
      </c>
      <c r="O45" s="196">
        <f t="shared" si="17"/>
        <v>0</v>
      </c>
      <c r="P45" s="196">
        <f t="shared" si="17"/>
        <v>0</v>
      </c>
      <c r="Q45" s="196">
        <f t="shared" si="17"/>
        <v>0</v>
      </c>
      <c r="R45" s="196">
        <f t="shared" si="17"/>
        <v>0</v>
      </c>
      <c r="S45" s="196">
        <f t="shared" si="17"/>
        <v>0</v>
      </c>
      <c r="T45" s="196">
        <f t="shared" si="17"/>
        <v>0</v>
      </c>
      <c r="U45" s="196">
        <f t="shared" si="17"/>
        <v>0</v>
      </c>
      <c r="V45" s="196">
        <f t="shared" si="17"/>
        <v>0</v>
      </c>
      <c r="W45" s="189">
        <f t="shared" si="12"/>
        <v>0</v>
      </c>
      <c r="X45" s="189">
        <f>NPV('1сел'!$X$1,B45:V45)</f>
        <v>0</v>
      </c>
    </row>
    <row r="46" spans="1:25" x14ac:dyDescent="0.25">
      <c r="A46" s="48" t="s">
        <v>272</v>
      </c>
      <c r="B46" s="48">
        <f>B40-B35</f>
        <v>1824310.448489591</v>
      </c>
      <c r="C46" s="48">
        <f t="shared" ref="C46:V46" si="18">C40-C35</f>
        <v>1858303.4748133353</v>
      </c>
      <c r="D46" s="48">
        <f t="shared" si="18"/>
        <v>1853258.586834061</v>
      </c>
      <c r="E46" s="48">
        <f t="shared" si="18"/>
        <v>1853258.586834061</v>
      </c>
      <c r="F46" s="48">
        <f t="shared" si="18"/>
        <v>1869786.7820929515</v>
      </c>
      <c r="G46" s="48">
        <f t="shared" si="18"/>
        <v>1869976.0129854572</v>
      </c>
      <c r="H46" s="48">
        <f t="shared" si="18"/>
        <v>1870000</v>
      </c>
      <c r="I46" s="48">
        <f t="shared" si="18"/>
        <v>1869200</v>
      </c>
      <c r="J46" s="48">
        <f t="shared" si="18"/>
        <v>1863472.7762432303</v>
      </c>
      <c r="K46" s="48">
        <f t="shared" si="18"/>
        <v>1929500</v>
      </c>
      <c r="L46" s="48">
        <f t="shared" si="18"/>
        <v>1928700</v>
      </c>
      <c r="M46" s="48">
        <f t="shared" si="18"/>
        <v>1922972.7762432303</v>
      </c>
      <c r="N46" s="48">
        <f t="shared" si="18"/>
        <v>1929500</v>
      </c>
      <c r="O46" s="48">
        <f t="shared" si="18"/>
        <v>1928700</v>
      </c>
      <c r="P46" s="48">
        <f t="shared" si="18"/>
        <v>1922972.7762432303</v>
      </c>
      <c r="Q46" s="48">
        <f t="shared" si="18"/>
        <v>1929500</v>
      </c>
      <c r="R46" s="48">
        <f t="shared" si="18"/>
        <v>1928700</v>
      </c>
      <c r="S46" s="48">
        <f t="shared" si="18"/>
        <v>1922972.7762432303</v>
      </c>
      <c r="T46" s="48">
        <f t="shared" si="18"/>
        <v>1929500</v>
      </c>
      <c r="U46" s="48">
        <f t="shared" si="18"/>
        <v>1929500</v>
      </c>
      <c r="V46" s="48">
        <f t="shared" si="18"/>
        <v>1929500</v>
      </c>
      <c r="W46" s="189">
        <f t="shared" si="12"/>
        <v>39863584.997022383</v>
      </c>
      <c r="X46" s="189">
        <f>NPV('1сел'!$X$1,B46:V46)</f>
        <v>32227450.163358875</v>
      </c>
    </row>
    <row r="47" spans="1:25" x14ac:dyDescent="0.25">
      <c r="A47" s="274" t="s">
        <v>328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9"/>
      <c r="X47" s="199"/>
    </row>
    <row r="48" spans="1:25" x14ac:dyDescent="0.25">
      <c r="A48" s="39" t="s">
        <v>85</v>
      </c>
      <c r="B48" s="58">
        <f>B37-B32</f>
        <v>-45689.551510408914</v>
      </c>
      <c r="C48" s="58">
        <f t="shared" ref="C48:V50" si="19">C37-C32</f>
        <v>-11696.525186664683</v>
      </c>
      <c r="D48" s="58">
        <f t="shared" si="19"/>
        <v>-16741.413165939</v>
      </c>
      <c r="E48" s="58">
        <f t="shared" si="19"/>
        <v>-16741.413165939</v>
      </c>
      <c r="F48" s="58">
        <f t="shared" si="19"/>
        <v>-213.21790704857494</v>
      </c>
      <c r="G48" s="58">
        <f t="shared" si="19"/>
        <v>-23.98701454296468</v>
      </c>
      <c r="H48" s="58">
        <f t="shared" si="19"/>
        <v>0</v>
      </c>
      <c r="I48" s="58">
        <f t="shared" si="19"/>
        <v>0</v>
      </c>
      <c r="J48" s="58">
        <f t="shared" si="19"/>
        <v>-7767.2237567695156</v>
      </c>
      <c r="K48" s="58">
        <f t="shared" si="19"/>
        <v>8500</v>
      </c>
      <c r="L48" s="58">
        <f t="shared" si="19"/>
        <v>8500</v>
      </c>
      <c r="M48" s="58">
        <f t="shared" si="19"/>
        <v>732.7762432304844</v>
      </c>
      <c r="N48" s="58">
        <f t="shared" si="19"/>
        <v>8500</v>
      </c>
      <c r="O48" s="58">
        <f t="shared" si="19"/>
        <v>8500</v>
      </c>
      <c r="P48" s="58">
        <f t="shared" si="19"/>
        <v>732.7762432304844</v>
      </c>
      <c r="Q48" s="58">
        <f t="shared" si="19"/>
        <v>8500</v>
      </c>
      <c r="R48" s="58">
        <f t="shared" si="19"/>
        <v>8500</v>
      </c>
      <c r="S48" s="58">
        <f t="shared" si="19"/>
        <v>732.7762432304844</v>
      </c>
      <c r="T48" s="58">
        <f t="shared" si="19"/>
        <v>8500</v>
      </c>
      <c r="U48" s="58">
        <f t="shared" si="19"/>
        <v>8500</v>
      </c>
      <c r="V48" s="58">
        <f t="shared" si="19"/>
        <v>8500</v>
      </c>
      <c r="W48" s="199">
        <f>SUM(B48:V48)</f>
        <v>-20175.002977621174</v>
      </c>
      <c r="X48" s="199">
        <f>NPV('1сел'!$X$1,B48:V48)</f>
        <v>-36109.574767312362</v>
      </c>
    </row>
    <row r="49" spans="1:25" x14ac:dyDescent="0.25">
      <c r="A49" s="38" t="s">
        <v>86</v>
      </c>
      <c r="B49" s="58">
        <f>B38-B33</f>
        <v>1870000</v>
      </c>
      <c r="C49" s="58">
        <f t="shared" si="19"/>
        <v>1870000</v>
      </c>
      <c r="D49" s="58">
        <f t="shared" si="19"/>
        <v>1870000</v>
      </c>
      <c r="E49" s="58">
        <f t="shared" si="19"/>
        <v>1870000</v>
      </c>
      <c r="F49" s="58">
        <f t="shared" si="19"/>
        <v>1870000</v>
      </c>
      <c r="G49" s="58">
        <f t="shared" si="19"/>
        <v>1870000</v>
      </c>
      <c r="H49" s="58">
        <f t="shared" si="19"/>
        <v>1870000</v>
      </c>
      <c r="I49" s="58">
        <f t="shared" si="19"/>
        <v>1870000</v>
      </c>
      <c r="J49" s="58">
        <f t="shared" si="19"/>
        <v>1870000</v>
      </c>
      <c r="K49" s="58">
        <f t="shared" si="19"/>
        <v>1921000</v>
      </c>
      <c r="L49" s="58">
        <f t="shared" si="19"/>
        <v>1921000</v>
      </c>
      <c r="M49" s="58">
        <f t="shared" si="19"/>
        <v>1921000</v>
      </c>
      <c r="N49" s="58">
        <f t="shared" si="19"/>
        <v>1921000</v>
      </c>
      <c r="O49" s="58">
        <f t="shared" si="19"/>
        <v>1921000</v>
      </c>
      <c r="P49" s="58">
        <f t="shared" si="19"/>
        <v>1921000</v>
      </c>
      <c r="Q49" s="58">
        <f t="shared" si="19"/>
        <v>1921000</v>
      </c>
      <c r="R49" s="58">
        <f t="shared" si="19"/>
        <v>1921000</v>
      </c>
      <c r="S49" s="58">
        <f t="shared" si="19"/>
        <v>1921000</v>
      </c>
      <c r="T49" s="58">
        <f t="shared" si="19"/>
        <v>1921000</v>
      </c>
      <c r="U49" s="58">
        <f t="shared" si="19"/>
        <v>1921000</v>
      </c>
      <c r="V49" s="58">
        <f t="shared" si="19"/>
        <v>1921000</v>
      </c>
      <c r="W49" s="199">
        <f>SUM(B49:V49)</f>
        <v>39882000</v>
      </c>
      <c r="X49" s="199">
        <f>NPV('1сел'!$X$1,B49:V49)</f>
        <v>32262258.726966508</v>
      </c>
    </row>
    <row r="50" spans="1:25" x14ac:dyDescent="0.25">
      <c r="A50" s="38" t="s">
        <v>87</v>
      </c>
      <c r="B50" s="58">
        <f>B39-B34</f>
        <v>0</v>
      </c>
      <c r="C50" s="58">
        <f t="shared" si="19"/>
        <v>0</v>
      </c>
      <c r="D50" s="58">
        <f t="shared" si="19"/>
        <v>0</v>
      </c>
      <c r="E50" s="58">
        <f t="shared" si="19"/>
        <v>0</v>
      </c>
      <c r="F50" s="58">
        <f t="shared" si="19"/>
        <v>0</v>
      </c>
      <c r="G50" s="58">
        <f t="shared" si="19"/>
        <v>0</v>
      </c>
      <c r="H50" s="58">
        <f t="shared" si="19"/>
        <v>0</v>
      </c>
      <c r="I50" s="58">
        <f t="shared" si="19"/>
        <v>-800.00000000000011</v>
      </c>
      <c r="J50" s="58">
        <f t="shared" si="19"/>
        <v>1240</v>
      </c>
      <c r="K50" s="58">
        <f t="shared" si="19"/>
        <v>0</v>
      </c>
      <c r="L50" s="58">
        <f t="shared" si="19"/>
        <v>-800.00000000000011</v>
      </c>
      <c r="M50" s="58">
        <f t="shared" si="19"/>
        <v>1240</v>
      </c>
      <c r="N50" s="58">
        <f t="shared" si="19"/>
        <v>0</v>
      </c>
      <c r="O50" s="58">
        <f t="shared" si="19"/>
        <v>-800.00000000000011</v>
      </c>
      <c r="P50" s="58">
        <f t="shared" si="19"/>
        <v>1240</v>
      </c>
      <c r="Q50" s="58">
        <f t="shared" si="19"/>
        <v>0</v>
      </c>
      <c r="R50" s="58">
        <f t="shared" si="19"/>
        <v>-800.00000000000011</v>
      </c>
      <c r="S50" s="58">
        <f t="shared" si="19"/>
        <v>1240</v>
      </c>
      <c r="T50" s="58">
        <f t="shared" si="19"/>
        <v>0</v>
      </c>
      <c r="U50" s="58">
        <f t="shared" si="19"/>
        <v>0</v>
      </c>
      <c r="V50" s="58">
        <f t="shared" si="19"/>
        <v>0</v>
      </c>
      <c r="W50" s="199">
        <f>SUM(B50:V50)</f>
        <v>1759.9999999999995</v>
      </c>
      <c r="X50" s="199">
        <f>NPV('1сел'!$X$1,B50:V50)</f>
        <v>1301.0111596771853</v>
      </c>
    </row>
    <row r="51" spans="1:25" x14ac:dyDescent="0.25">
      <c r="A51" s="95" t="s">
        <v>88</v>
      </c>
      <c r="B51" s="275">
        <f t="shared" ref="B51:V51" si="20">SUM(B48:B50)</f>
        <v>1824310.448489591</v>
      </c>
      <c r="C51" s="275">
        <f t="shared" si="20"/>
        <v>1858303.4748133353</v>
      </c>
      <c r="D51" s="275">
        <f t="shared" si="20"/>
        <v>1853258.586834061</v>
      </c>
      <c r="E51" s="275">
        <f t="shared" si="20"/>
        <v>1853258.586834061</v>
      </c>
      <c r="F51" s="275">
        <f t="shared" si="20"/>
        <v>1869786.7820929515</v>
      </c>
      <c r="G51" s="275">
        <f t="shared" si="20"/>
        <v>1869976.012985457</v>
      </c>
      <c r="H51" s="275">
        <f t="shared" si="20"/>
        <v>1870000</v>
      </c>
      <c r="I51" s="275">
        <f t="shared" si="20"/>
        <v>1869200</v>
      </c>
      <c r="J51" s="275">
        <f>SUM(J48:J50)</f>
        <v>1863472.7762432306</v>
      </c>
      <c r="K51" s="275">
        <f t="shared" si="20"/>
        <v>1929500</v>
      </c>
      <c r="L51" s="275">
        <f t="shared" si="20"/>
        <v>1928700</v>
      </c>
      <c r="M51" s="275">
        <f t="shared" si="20"/>
        <v>1922972.7762432306</v>
      </c>
      <c r="N51" s="275">
        <f t="shared" si="20"/>
        <v>1929500</v>
      </c>
      <c r="O51" s="275">
        <f t="shared" si="20"/>
        <v>1928700</v>
      </c>
      <c r="P51" s="275">
        <f t="shared" si="20"/>
        <v>1922972.7762432306</v>
      </c>
      <c r="Q51" s="275">
        <f t="shared" si="20"/>
        <v>1929500</v>
      </c>
      <c r="R51" s="275">
        <f t="shared" si="20"/>
        <v>1928700</v>
      </c>
      <c r="S51" s="275">
        <f t="shared" si="20"/>
        <v>1922972.7762432306</v>
      </c>
      <c r="T51" s="275">
        <f t="shared" si="20"/>
        <v>1929500</v>
      </c>
      <c r="U51" s="275">
        <f t="shared" si="20"/>
        <v>1929500</v>
      </c>
      <c r="V51" s="275">
        <f t="shared" si="20"/>
        <v>1929500</v>
      </c>
      <c r="W51" s="199">
        <f>SUM(B51:V51)</f>
        <v>39863584.997022383</v>
      </c>
      <c r="X51" s="199">
        <f>NPV('1сел'!$X$1,B51:V51)</f>
        <v>32227450.163358875</v>
      </c>
    </row>
    <row r="52" spans="1:25" x14ac:dyDescent="0.25">
      <c r="A52" s="67" t="s">
        <v>366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199"/>
      <c r="X52" s="199"/>
    </row>
    <row r="53" spans="1:25" x14ac:dyDescent="0.25">
      <c r="A53" s="95" t="s">
        <v>329</v>
      </c>
      <c r="B53" s="275">
        <f>B48</f>
        <v>-45689.551510408914</v>
      </c>
      <c r="C53" s="275">
        <f>B53+C48</f>
        <v>-57386.0766970736</v>
      </c>
      <c r="D53" s="275">
        <f t="shared" ref="D53:V55" si="21">C53+D48</f>
        <v>-74127.489863012597</v>
      </c>
      <c r="E53" s="275">
        <f t="shared" si="21"/>
        <v>-90868.903028951594</v>
      </c>
      <c r="F53" s="275">
        <f t="shared" si="21"/>
        <v>-91082.120936000167</v>
      </c>
      <c r="G53" s="275">
        <f t="shared" si="21"/>
        <v>-91106.107950543126</v>
      </c>
      <c r="H53" s="275">
        <f t="shared" si="21"/>
        <v>-91106.107950543126</v>
      </c>
      <c r="I53" s="275">
        <f t="shared" si="21"/>
        <v>-91106.107950543126</v>
      </c>
      <c r="J53" s="275">
        <f t="shared" si="21"/>
        <v>-98873.331707312638</v>
      </c>
      <c r="K53" s="275">
        <f t="shared" si="21"/>
        <v>-90373.331707312638</v>
      </c>
      <c r="L53" s="275">
        <f t="shared" si="21"/>
        <v>-81873.331707312638</v>
      </c>
      <c r="M53" s="275">
        <f t="shared" si="21"/>
        <v>-81140.55546408215</v>
      </c>
      <c r="N53" s="275">
        <f t="shared" si="21"/>
        <v>-72640.55546408215</v>
      </c>
      <c r="O53" s="275">
        <f t="shared" si="21"/>
        <v>-64140.55546408215</v>
      </c>
      <c r="P53" s="275">
        <f t="shared" si="21"/>
        <v>-63407.779220851662</v>
      </c>
      <c r="Q53" s="275">
        <f t="shared" si="21"/>
        <v>-54907.779220851662</v>
      </c>
      <c r="R53" s="275">
        <f t="shared" si="21"/>
        <v>-46407.779220851662</v>
      </c>
      <c r="S53" s="275">
        <f t="shared" si="21"/>
        <v>-45675.002977621174</v>
      </c>
      <c r="T53" s="275">
        <f t="shared" si="21"/>
        <v>-37175.002977621174</v>
      </c>
      <c r="U53" s="275">
        <f t="shared" si="21"/>
        <v>-28675.002977621174</v>
      </c>
      <c r="V53" s="275">
        <f t="shared" si="21"/>
        <v>-20175.002977621174</v>
      </c>
      <c r="W53" s="276" t="s">
        <v>334</v>
      </c>
      <c r="X53" s="276">
        <f>MIN(B53:V53)</f>
        <v>-98873.331707312638</v>
      </c>
    </row>
    <row r="54" spans="1:25" x14ac:dyDescent="0.25">
      <c r="A54" s="95" t="s">
        <v>330</v>
      </c>
      <c r="B54" s="275">
        <f>B49</f>
        <v>1870000</v>
      </c>
      <c r="C54" s="275">
        <f>B54+C49</f>
        <v>3740000</v>
      </c>
      <c r="D54" s="275">
        <f t="shared" si="21"/>
        <v>5610000</v>
      </c>
      <c r="E54" s="275">
        <f t="shared" si="21"/>
        <v>7480000</v>
      </c>
      <c r="F54" s="275">
        <f t="shared" si="21"/>
        <v>9350000</v>
      </c>
      <c r="G54" s="275">
        <f t="shared" si="21"/>
        <v>11220000</v>
      </c>
      <c r="H54" s="275">
        <f t="shared" si="21"/>
        <v>13090000</v>
      </c>
      <c r="I54" s="275">
        <f t="shared" si="21"/>
        <v>14960000</v>
      </c>
      <c r="J54" s="275">
        <f t="shared" si="21"/>
        <v>16830000</v>
      </c>
      <c r="K54" s="275">
        <f t="shared" si="21"/>
        <v>18751000</v>
      </c>
      <c r="L54" s="275">
        <f t="shared" si="21"/>
        <v>20672000</v>
      </c>
      <c r="M54" s="275">
        <f t="shared" si="21"/>
        <v>22593000</v>
      </c>
      <c r="N54" s="275">
        <f t="shared" si="21"/>
        <v>24514000</v>
      </c>
      <c r="O54" s="275">
        <f t="shared" si="21"/>
        <v>26435000</v>
      </c>
      <c r="P54" s="275">
        <f t="shared" si="21"/>
        <v>28356000</v>
      </c>
      <c r="Q54" s="275">
        <f t="shared" si="21"/>
        <v>30277000</v>
      </c>
      <c r="R54" s="275">
        <f t="shared" si="21"/>
        <v>32198000</v>
      </c>
      <c r="S54" s="275">
        <f t="shared" si="21"/>
        <v>34119000</v>
      </c>
      <c r="T54" s="275">
        <f t="shared" si="21"/>
        <v>36040000</v>
      </c>
      <c r="U54" s="275">
        <f t="shared" si="21"/>
        <v>37961000</v>
      </c>
      <c r="V54" s="275">
        <f t="shared" si="21"/>
        <v>39882000</v>
      </c>
      <c r="W54" s="276" t="s">
        <v>334</v>
      </c>
      <c r="X54" s="276">
        <f>MIN(B54:V54)</f>
        <v>1870000</v>
      </c>
    </row>
    <row r="55" spans="1:25" x14ac:dyDescent="0.25">
      <c r="A55" s="95" t="s">
        <v>331</v>
      </c>
      <c r="B55" s="275">
        <f>B50</f>
        <v>0</v>
      </c>
      <c r="C55" s="275">
        <f>B55+C50</f>
        <v>0</v>
      </c>
      <c r="D55" s="275">
        <f t="shared" si="21"/>
        <v>0</v>
      </c>
      <c r="E55" s="275">
        <f t="shared" si="21"/>
        <v>0</v>
      </c>
      <c r="F55" s="275">
        <f t="shared" si="21"/>
        <v>0</v>
      </c>
      <c r="G55" s="275">
        <f t="shared" si="21"/>
        <v>0</v>
      </c>
      <c r="H55" s="275">
        <f t="shared" si="21"/>
        <v>0</v>
      </c>
      <c r="I55" s="275">
        <f t="shared" si="21"/>
        <v>-800.00000000000011</v>
      </c>
      <c r="J55" s="275">
        <f t="shared" si="21"/>
        <v>439.99999999999989</v>
      </c>
      <c r="K55" s="275">
        <f t="shared" si="21"/>
        <v>439.99999999999989</v>
      </c>
      <c r="L55" s="275">
        <f t="shared" si="21"/>
        <v>-360.00000000000023</v>
      </c>
      <c r="M55" s="275">
        <f t="shared" si="21"/>
        <v>879.99999999999977</v>
      </c>
      <c r="N55" s="275">
        <f t="shared" si="21"/>
        <v>879.99999999999977</v>
      </c>
      <c r="O55" s="275">
        <f t="shared" si="21"/>
        <v>79.999999999999659</v>
      </c>
      <c r="P55" s="275">
        <f t="shared" si="21"/>
        <v>1319.9999999999995</v>
      </c>
      <c r="Q55" s="275">
        <f t="shared" si="21"/>
        <v>1319.9999999999995</v>
      </c>
      <c r="R55" s="275">
        <f t="shared" si="21"/>
        <v>519.99999999999943</v>
      </c>
      <c r="S55" s="275">
        <f t="shared" si="21"/>
        <v>1759.9999999999995</v>
      </c>
      <c r="T55" s="275">
        <f t="shared" si="21"/>
        <v>1759.9999999999995</v>
      </c>
      <c r="U55" s="275">
        <f t="shared" si="21"/>
        <v>1759.9999999999995</v>
      </c>
      <c r="V55" s="275">
        <f t="shared" si="21"/>
        <v>1759.9999999999995</v>
      </c>
      <c r="W55" s="276" t="s">
        <v>334</v>
      </c>
      <c r="X55" s="276">
        <f>MIN(B55:V55)</f>
        <v>-800.00000000000011</v>
      </c>
    </row>
    <row r="56" spans="1:25" x14ac:dyDescent="0.25">
      <c r="A56" s="95" t="s">
        <v>332</v>
      </c>
      <c r="B56" s="275">
        <f>SUM(B53:B55)</f>
        <v>1824310.448489591</v>
      </c>
      <c r="C56" s="275">
        <f>B56+SUM(C48:C50)</f>
        <v>3682613.9233029261</v>
      </c>
      <c r="D56" s="275">
        <f t="shared" ref="D56:S56" si="22">C56+SUM(D48:D50)</f>
        <v>5535872.5101369871</v>
      </c>
      <c r="E56" s="275">
        <f t="shared" si="22"/>
        <v>7389131.096971048</v>
      </c>
      <c r="F56" s="275">
        <f t="shared" si="22"/>
        <v>9258917.8790639993</v>
      </c>
      <c r="G56" s="275">
        <f t="shared" si="22"/>
        <v>11128893.892049456</v>
      </c>
      <c r="H56" s="275">
        <f t="shared" si="22"/>
        <v>12998893.892049456</v>
      </c>
      <c r="I56" s="275">
        <f t="shared" si="22"/>
        <v>14868093.892049456</v>
      </c>
      <c r="J56" s="275">
        <f t="shared" si="22"/>
        <v>16731566.668292686</v>
      </c>
      <c r="K56" s="275">
        <f t="shared" si="22"/>
        <v>18661066.668292686</v>
      </c>
      <c r="L56" s="275">
        <f t="shared" si="22"/>
        <v>20589766.668292686</v>
      </c>
      <c r="M56" s="275">
        <f t="shared" si="22"/>
        <v>22512739.444535919</v>
      </c>
      <c r="N56" s="275">
        <f t="shared" si="22"/>
        <v>24442239.444535919</v>
      </c>
      <c r="O56" s="275">
        <f t="shared" si="22"/>
        <v>26370939.444535919</v>
      </c>
      <c r="P56" s="275">
        <f t="shared" si="22"/>
        <v>28293912.220779151</v>
      </c>
      <c r="Q56" s="275">
        <f t="shared" si="22"/>
        <v>30223412.220779151</v>
      </c>
      <c r="R56" s="275">
        <f t="shared" si="22"/>
        <v>32152112.220779151</v>
      </c>
      <c r="S56" s="275">
        <f t="shared" si="22"/>
        <v>34075084.997022383</v>
      </c>
      <c r="T56" s="275">
        <f>S56+SUM(T48:T50)</f>
        <v>36004584.997022383</v>
      </c>
      <c r="U56" s="275">
        <f>T56+SUM(U48:U50)</f>
        <v>37934084.997022383</v>
      </c>
      <c r="V56" s="275">
        <f>U56+SUM(V48:V50)</f>
        <v>39863584.997022383</v>
      </c>
      <c r="W56" s="276" t="s">
        <v>334</v>
      </c>
      <c r="X56" s="276">
        <f>MIN(B56:V56)</f>
        <v>1824310.448489591</v>
      </c>
    </row>
    <row r="57" spans="1:25" x14ac:dyDescent="0.25">
      <c r="A57" s="95" t="s">
        <v>333</v>
      </c>
      <c r="B57" s="275">
        <f>B51</f>
        <v>1824310.448489591</v>
      </c>
      <c r="C57" s="275">
        <f>B57+C51</f>
        <v>3682613.9233029261</v>
      </c>
      <c r="D57" s="275">
        <f t="shared" ref="D57:V57" si="23">C57+D51</f>
        <v>5535872.5101369871</v>
      </c>
      <c r="E57" s="275">
        <f t="shared" si="23"/>
        <v>7389131.096971048</v>
      </c>
      <c r="F57" s="275">
        <f t="shared" si="23"/>
        <v>9258917.8790639993</v>
      </c>
      <c r="G57" s="275">
        <f t="shared" si="23"/>
        <v>11128893.892049456</v>
      </c>
      <c r="H57" s="275">
        <f t="shared" si="23"/>
        <v>12998893.892049456</v>
      </c>
      <c r="I57" s="275">
        <f t="shared" si="23"/>
        <v>14868093.892049456</v>
      </c>
      <c r="J57" s="275">
        <f t="shared" si="23"/>
        <v>16731566.668292686</v>
      </c>
      <c r="K57" s="275">
        <f t="shared" si="23"/>
        <v>18661066.668292686</v>
      </c>
      <c r="L57" s="275">
        <f t="shared" si="23"/>
        <v>20589766.668292686</v>
      </c>
      <c r="M57" s="275">
        <f t="shared" si="23"/>
        <v>22512739.444535919</v>
      </c>
      <c r="N57" s="275">
        <f t="shared" si="23"/>
        <v>24442239.444535919</v>
      </c>
      <c r="O57" s="275">
        <f t="shared" si="23"/>
        <v>26370939.444535919</v>
      </c>
      <c r="P57" s="275">
        <f t="shared" si="23"/>
        <v>28293912.220779151</v>
      </c>
      <c r="Q57" s="275">
        <f t="shared" si="23"/>
        <v>30223412.220779151</v>
      </c>
      <c r="R57" s="275">
        <f t="shared" si="23"/>
        <v>32152112.220779151</v>
      </c>
      <c r="S57" s="275">
        <f t="shared" si="23"/>
        <v>34075084.997022383</v>
      </c>
      <c r="T57" s="275">
        <f t="shared" si="23"/>
        <v>36004584.997022383</v>
      </c>
      <c r="U57" s="275">
        <f t="shared" si="23"/>
        <v>37934084.997022383</v>
      </c>
      <c r="V57" s="275">
        <f t="shared" si="23"/>
        <v>39863584.997022383</v>
      </c>
      <c r="W57" s="276" t="s">
        <v>334</v>
      </c>
      <c r="X57" s="276">
        <f>MIN(B57:V57)</f>
        <v>1824310.448489591</v>
      </c>
    </row>
    <row r="58" spans="1:25" s="284" customFormat="1" x14ac:dyDescent="0.25">
      <c r="A58" s="281" t="s">
        <v>347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3"/>
      <c r="X58" s="283"/>
      <c r="Y58" s="47"/>
    </row>
    <row r="59" spans="1:25" x14ac:dyDescent="0.25">
      <c r="A59" s="278" t="s">
        <v>342</v>
      </c>
      <c r="B59" s="64">
        <f t="shared" ref="B59:Q62" si="24">IF(AND(B53&lt;0,C53&gt;0),B$2+(-B53/(-B53+C53)),0)</f>
        <v>0</v>
      </c>
      <c r="C59" s="64">
        <f t="shared" si="24"/>
        <v>0</v>
      </c>
      <c r="D59" s="64">
        <f t="shared" si="24"/>
        <v>0</v>
      </c>
      <c r="E59" s="64">
        <f t="shared" si="24"/>
        <v>0</v>
      </c>
      <c r="F59" s="64">
        <f t="shared" si="24"/>
        <v>0</v>
      </c>
      <c r="G59" s="64">
        <f t="shared" si="24"/>
        <v>0</v>
      </c>
      <c r="H59" s="64">
        <f t="shared" si="24"/>
        <v>0</v>
      </c>
      <c r="I59" s="64">
        <f t="shared" si="24"/>
        <v>0</v>
      </c>
      <c r="J59" s="64">
        <f t="shared" si="24"/>
        <v>0</v>
      </c>
      <c r="K59" s="64">
        <f t="shared" si="24"/>
        <v>0</v>
      </c>
      <c r="L59" s="64">
        <f t="shared" si="24"/>
        <v>0</v>
      </c>
      <c r="M59" s="64">
        <f>IF(AND(M53&lt;0,N53&gt;0),M$2+(-M53/(-M53+N53)),0)</f>
        <v>0</v>
      </c>
      <c r="N59" s="64">
        <f t="shared" ref="N59:S62" si="25">IF(AND(N53&lt;0,O53&gt;0),N$2+(-N53/(-N53+O53)),0)</f>
        <v>0</v>
      </c>
      <c r="O59" s="64">
        <f t="shared" si="25"/>
        <v>0</v>
      </c>
      <c r="P59" s="64">
        <f t="shared" si="25"/>
        <v>0</v>
      </c>
      <c r="Q59" s="64">
        <f t="shared" si="25"/>
        <v>0</v>
      </c>
      <c r="R59" s="64">
        <f t="shared" si="25"/>
        <v>0</v>
      </c>
      <c r="S59" s="64">
        <f t="shared" si="25"/>
        <v>0</v>
      </c>
      <c r="T59" s="64">
        <f t="shared" ref="T59:V62" si="26">IF(AND(T53&lt;0,V53&gt;0),T$2+(-T53/(-T53+V53)),0)</f>
        <v>0</v>
      </c>
      <c r="U59" s="64" t="e">
        <f t="shared" si="26"/>
        <v>#VALUE!</v>
      </c>
      <c r="V59" s="64">
        <f t="shared" si="26"/>
        <v>0</v>
      </c>
      <c r="W59" s="279" t="s">
        <v>346</v>
      </c>
      <c r="X59" s="280" t="e">
        <f>MAX(B59:V59)</f>
        <v>#VALUE!</v>
      </c>
    </row>
    <row r="60" spans="1:25" x14ac:dyDescent="0.25">
      <c r="A60" s="278" t="s">
        <v>343</v>
      </c>
      <c r="B60" s="64">
        <f t="shared" si="24"/>
        <v>0</v>
      </c>
      <c r="C60" s="64">
        <f t="shared" si="24"/>
        <v>0</v>
      </c>
      <c r="D60" s="64">
        <f t="shared" si="24"/>
        <v>0</v>
      </c>
      <c r="E60" s="64">
        <f t="shared" si="24"/>
        <v>0</v>
      </c>
      <c r="F60" s="64">
        <f t="shared" si="24"/>
        <v>0</v>
      </c>
      <c r="G60" s="64">
        <f t="shared" si="24"/>
        <v>0</v>
      </c>
      <c r="H60" s="64">
        <f t="shared" si="24"/>
        <v>0</v>
      </c>
      <c r="I60" s="64">
        <f t="shared" si="24"/>
        <v>0</v>
      </c>
      <c r="J60" s="64">
        <f t="shared" si="24"/>
        <v>0</v>
      </c>
      <c r="K60" s="64">
        <f t="shared" si="24"/>
        <v>0</v>
      </c>
      <c r="L60" s="64">
        <f t="shared" si="24"/>
        <v>0</v>
      </c>
      <c r="M60" s="64">
        <f t="shared" si="24"/>
        <v>0</v>
      </c>
      <c r="N60" s="64">
        <f t="shared" si="24"/>
        <v>0</v>
      </c>
      <c r="O60" s="64">
        <f t="shared" si="24"/>
        <v>0</v>
      </c>
      <c r="P60" s="64">
        <f t="shared" si="24"/>
        <v>0</v>
      </c>
      <c r="Q60" s="64">
        <f t="shared" si="24"/>
        <v>0</v>
      </c>
      <c r="R60" s="64">
        <f t="shared" si="25"/>
        <v>0</v>
      </c>
      <c r="S60" s="64">
        <f t="shared" si="25"/>
        <v>0</v>
      </c>
      <c r="T60" s="64">
        <f t="shared" si="26"/>
        <v>0</v>
      </c>
      <c r="U60" s="64">
        <f t="shared" si="26"/>
        <v>0</v>
      </c>
      <c r="V60" s="64">
        <f t="shared" si="26"/>
        <v>0</v>
      </c>
      <c r="W60" s="279" t="s">
        <v>346</v>
      </c>
      <c r="X60" s="280">
        <f>MAX(B60:V60)</f>
        <v>0</v>
      </c>
    </row>
    <row r="61" spans="1:25" x14ac:dyDescent="0.25">
      <c r="A61" s="278" t="s">
        <v>344</v>
      </c>
      <c r="B61" s="64">
        <f t="shared" si="24"/>
        <v>0</v>
      </c>
      <c r="C61" s="64">
        <f t="shared" si="24"/>
        <v>0</v>
      </c>
      <c r="D61" s="64">
        <f t="shared" si="24"/>
        <v>0</v>
      </c>
      <c r="E61" s="64">
        <f t="shared" si="24"/>
        <v>0</v>
      </c>
      <c r="F61" s="64">
        <f t="shared" si="24"/>
        <v>0</v>
      </c>
      <c r="G61" s="64">
        <f t="shared" si="24"/>
        <v>0</v>
      </c>
      <c r="H61" s="64">
        <f t="shared" si="24"/>
        <v>0</v>
      </c>
      <c r="I61" s="64">
        <f t="shared" si="24"/>
        <v>8.6451612903225801</v>
      </c>
      <c r="J61" s="64">
        <f t="shared" si="24"/>
        <v>0</v>
      </c>
      <c r="K61" s="64">
        <f t="shared" si="24"/>
        <v>0</v>
      </c>
      <c r="L61" s="64">
        <f t="shared" si="24"/>
        <v>11.290322580645162</v>
      </c>
      <c r="M61" s="64">
        <f t="shared" si="24"/>
        <v>0</v>
      </c>
      <c r="N61" s="64">
        <f t="shared" si="24"/>
        <v>0</v>
      </c>
      <c r="O61" s="64">
        <f t="shared" si="24"/>
        <v>0</v>
      </c>
      <c r="P61" s="64">
        <f t="shared" si="24"/>
        <v>0</v>
      </c>
      <c r="Q61" s="64">
        <f t="shared" si="24"/>
        <v>0</v>
      </c>
      <c r="R61" s="64">
        <f t="shared" si="25"/>
        <v>0</v>
      </c>
      <c r="S61" s="64">
        <f t="shared" si="25"/>
        <v>0</v>
      </c>
      <c r="T61" s="64">
        <f t="shared" si="26"/>
        <v>0</v>
      </c>
      <c r="U61" s="64">
        <f t="shared" si="26"/>
        <v>0</v>
      </c>
      <c r="V61" s="64">
        <f t="shared" si="26"/>
        <v>0</v>
      </c>
      <c r="W61" s="279" t="s">
        <v>346</v>
      </c>
      <c r="X61" s="280">
        <f>MAX(B61:V61)</f>
        <v>11.290322580645162</v>
      </c>
    </row>
    <row r="62" spans="1:25" x14ac:dyDescent="0.25">
      <c r="A62" s="278" t="s">
        <v>345</v>
      </c>
      <c r="B62" s="64">
        <f t="shared" si="24"/>
        <v>0</v>
      </c>
      <c r="C62" s="64">
        <f t="shared" si="24"/>
        <v>0</v>
      </c>
      <c r="D62" s="64">
        <f t="shared" si="24"/>
        <v>0</v>
      </c>
      <c r="E62" s="64">
        <f t="shared" si="24"/>
        <v>0</v>
      </c>
      <c r="F62" s="64">
        <f t="shared" si="24"/>
        <v>0</v>
      </c>
      <c r="G62" s="64">
        <f t="shared" si="24"/>
        <v>0</v>
      </c>
      <c r="H62" s="64">
        <f t="shared" si="24"/>
        <v>0</v>
      </c>
      <c r="I62" s="64">
        <f t="shared" si="24"/>
        <v>0</v>
      </c>
      <c r="J62" s="64">
        <f t="shared" si="24"/>
        <v>0</v>
      </c>
      <c r="K62" s="64">
        <f t="shared" si="24"/>
        <v>0</v>
      </c>
      <c r="L62" s="64">
        <f t="shared" si="24"/>
        <v>0</v>
      </c>
      <c r="M62" s="64">
        <f t="shared" si="24"/>
        <v>0</v>
      </c>
      <c r="N62" s="64">
        <f t="shared" si="24"/>
        <v>0</v>
      </c>
      <c r="O62" s="64">
        <f t="shared" si="24"/>
        <v>0</v>
      </c>
      <c r="P62" s="64">
        <f t="shared" si="24"/>
        <v>0</v>
      </c>
      <c r="Q62" s="64">
        <f t="shared" si="24"/>
        <v>0</v>
      </c>
      <c r="R62" s="64">
        <f t="shared" si="25"/>
        <v>0</v>
      </c>
      <c r="S62" s="64">
        <f t="shared" si="25"/>
        <v>0</v>
      </c>
      <c r="T62" s="64">
        <f t="shared" si="26"/>
        <v>0</v>
      </c>
      <c r="U62" s="64">
        <f t="shared" si="26"/>
        <v>0</v>
      </c>
      <c r="V62" s="64">
        <f t="shared" si="26"/>
        <v>0</v>
      </c>
      <c r="W62" s="279" t="s">
        <v>346</v>
      </c>
      <c r="X62" s="280">
        <f>MAX(B62:V62)</f>
        <v>0</v>
      </c>
    </row>
    <row r="63" spans="1:25" x14ac:dyDescent="0.25">
      <c r="A63" t="s">
        <v>319</v>
      </c>
    </row>
    <row r="64" spans="1:25" x14ac:dyDescent="0.25">
      <c r="A64" t="s">
        <v>320</v>
      </c>
      <c r="B64" s="215">
        <f t="shared" ref="B64:V66" si="27">B48-B19</f>
        <v>-41292.551510408914</v>
      </c>
      <c r="C64" s="215">
        <f t="shared" si="27"/>
        <v>-7299.5251866646831</v>
      </c>
      <c r="D64" s="215">
        <f t="shared" si="27"/>
        <v>-12344.413165939</v>
      </c>
      <c r="E64" s="215">
        <f t="shared" si="27"/>
        <v>-12344.413165939</v>
      </c>
      <c r="F64" s="215">
        <f t="shared" si="27"/>
        <v>4183.7820929514255</v>
      </c>
      <c r="G64" s="215">
        <f t="shared" si="27"/>
        <v>4373.012985457035</v>
      </c>
      <c r="H64" s="215">
        <f t="shared" si="27"/>
        <v>4397</v>
      </c>
      <c r="I64" s="215">
        <f t="shared" si="27"/>
        <v>4397</v>
      </c>
      <c r="J64" s="215">
        <f t="shared" si="27"/>
        <v>-3370.2237567695156</v>
      </c>
      <c r="K64" s="215">
        <f t="shared" si="27"/>
        <v>12897</v>
      </c>
      <c r="L64" s="215">
        <f t="shared" si="27"/>
        <v>12897</v>
      </c>
      <c r="M64" s="215">
        <f t="shared" si="27"/>
        <v>5129.7762432304844</v>
      </c>
      <c r="N64" s="215">
        <f t="shared" si="27"/>
        <v>11988</v>
      </c>
      <c r="O64" s="215">
        <f t="shared" si="27"/>
        <v>11988</v>
      </c>
      <c r="P64" s="215">
        <f t="shared" si="27"/>
        <v>739.07624323048435</v>
      </c>
      <c r="Q64" s="215">
        <f t="shared" si="27"/>
        <v>8500</v>
      </c>
      <c r="R64" s="215">
        <f t="shared" si="27"/>
        <v>8500</v>
      </c>
      <c r="S64" s="215">
        <f t="shared" si="27"/>
        <v>2772.7762432304844</v>
      </c>
      <c r="T64" s="215">
        <f t="shared" si="27"/>
        <v>0</v>
      </c>
      <c r="U64" s="215">
        <f t="shared" si="27"/>
        <v>0</v>
      </c>
      <c r="V64" s="215">
        <f t="shared" si="27"/>
        <v>0</v>
      </c>
      <c r="W64" s="189">
        <f>SUM(B64:V64)</f>
        <v>16111.2970223788</v>
      </c>
      <c r="X64" s="189">
        <f>NPV('1сел'!$X$1,B64:V64)</f>
        <v>-4.2353919935504012E-11</v>
      </c>
    </row>
    <row r="65" spans="1:25" x14ac:dyDescent="0.25">
      <c r="A65" t="s">
        <v>321</v>
      </c>
      <c r="B65">
        <f t="shared" si="27"/>
        <v>0</v>
      </c>
      <c r="C65">
        <f t="shared" si="27"/>
        <v>0</v>
      </c>
      <c r="D65">
        <f t="shared" si="27"/>
        <v>0</v>
      </c>
      <c r="E65">
        <f t="shared" si="27"/>
        <v>0</v>
      </c>
      <c r="F65">
        <f t="shared" si="27"/>
        <v>0</v>
      </c>
      <c r="G65">
        <f t="shared" si="27"/>
        <v>0</v>
      </c>
      <c r="H65">
        <f t="shared" si="27"/>
        <v>0</v>
      </c>
      <c r="I65">
        <f t="shared" si="27"/>
        <v>0</v>
      </c>
      <c r="J65">
        <f t="shared" si="27"/>
        <v>0</v>
      </c>
      <c r="K65">
        <f t="shared" si="27"/>
        <v>51000</v>
      </c>
      <c r="L65">
        <f t="shared" si="27"/>
        <v>51000</v>
      </c>
      <c r="M65">
        <f t="shared" si="27"/>
        <v>51000</v>
      </c>
      <c r="N65">
        <f t="shared" si="27"/>
        <v>51000</v>
      </c>
      <c r="O65">
        <f t="shared" si="27"/>
        <v>51000</v>
      </c>
      <c r="P65">
        <f t="shared" si="27"/>
        <v>51000</v>
      </c>
      <c r="Q65">
        <f t="shared" si="27"/>
        <v>51000</v>
      </c>
      <c r="R65">
        <f t="shared" si="27"/>
        <v>51000</v>
      </c>
      <c r="S65">
        <f t="shared" si="27"/>
        <v>51000</v>
      </c>
      <c r="T65">
        <f t="shared" si="27"/>
        <v>0</v>
      </c>
      <c r="U65">
        <f t="shared" si="27"/>
        <v>0</v>
      </c>
      <c r="V65">
        <f t="shared" si="27"/>
        <v>0</v>
      </c>
      <c r="W65" s="189">
        <f>SUM(B65:V65)</f>
        <v>459000</v>
      </c>
      <c r="X65" s="189">
        <f>NPV('1сел'!$X$1,B65:V65)</f>
        <v>348319.52181293961</v>
      </c>
    </row>
    <row r="66" spans="1:25" x14ac:dyDescent="0.25">
      <c r="A66" t="s">
        <v>322</v>
      </c>
      <c r="B66" s="215">
        <f t="shared" si="27"/>
        <v>0</v>
      </c>
      <c r="C66" s="215">
        <f t="shared" si="27"/>
        <v>0</v>
      </c>
      <c r="D66" s="215">
        <f t="shared" si="27"/>
        <v>0</v>
      </c>
      <c r="E66" s="215">
        <f t="shared" si="27"/>
        <v>0</v>
      </c>
      <c r="F66" s="215">
        <f t="shared" si="27"/>
        <v>0</v>
      </c>
      <c r="G66" s="215">
        <f t="shared" si="27"/>
        <v>0</v>
      </c>
      <c r="H66" s="215">
        <f t="shared" si="27"/>
        <v>0</v>
      </c>
      <c r="I66" s="215">
        <f t="shared" si="27"/>
        <v>-800.00000000000011</v>
      </c>
      <c r="J66" s="215">
        <f t="shared" si="27"/>
        <v>1240</v>
      </c>
      <c r="K66" s="215">
        <f t="shared" si="27"/>
        <v>0</v>
      </c>
      <c r="L66" s="215">
        <f t="shared" si="27"/>
        <v>-800.00000000000011</v>
      </c>
      <c r="M66" s="215">
        <f t="shared" si="27"/>
        <v>1240</v>
      </c>
      <c r="N66" s="215">
        <f t="shared" si="27"/>
        <v>0</v>
      </c>
      <c r="O66" s="215">
        <f t="shared" si="27"/>
        <v>-800.00000000000011</v>
      </c>
      <c r="P66" s="215">
        <f t="shared" si="27"/>
        <v>1240</v>
      </c>
      <c r="Q66" s="215">
        <f t="shared" si="27"/>
        <v>0</v>
      </c>
      <c r="R66" s="215">
        <f t="shared" si="27"/>
        <v>0</v>
      </c>
      <c r="S66" s="215">
        <f t="shared" si="27"/>
        <v>0</v>
      </c>
      <c r="T66" s="215">
        <f t="shared" si="27"/>
        <v>0</v>
      </c>
      <c r="U66" s="215">
        <f t="shared" si="27"/>
        <v>0</v>
      </c>
      <c r="V66" s="215">
        <f t="shared" si="27"/>
        <v>0</v>
      </c>
      <c r="W66" s="189">
        <f>SUM(B66:V66)</f>
        <v>1319.9999999999995</v>
      </c>
      <c r="X66" s="189">
        <f>NPV('1сел'!$X$1,B66:V66)</f>
        <v>1004.143584691761</v>
      </c>
    </row>
    <row r="67" spans="1:25" x14ac:dyDescent="0.25">
      <c r="A67" s="145" t="s">
        <v>419</v>
      </c>
      <c r="B67" s="215">
        <f>SUM(B64:B66)</f>
        <v>-41292.551510408914</v>
      </c>
      <c r="C67" s="215">
        <f t="shared" ref="C67:V67" si="28">SUM(C64:C66)</f>
        <v>-7299.5251866646831</v>
      </c>
      <c r="D67" s="215">
        <f t="shared" si="28"/>
        <v>-12344.413165939</v>
      </c>
      <c r="E67" s="215">
        <f t="shared" si="28"/>
        <v>-12344.413165939</v>
      </c>
      <c r="F67" s="215">
        <f t="shared" si="28"/>
        <v>4183.7820929514255</v>
      </c>
      <c r="G67" s="215">
        <f t="shared" si="28"/>
        <v>4373.012985457035</v>
      </c>
      <c r="H67" s="215">
        <f t="shared" si="28"/>
        <v>4397</v>
      </c>
      <c r="I67" s="215">
        <f t="shared" si="28"/>
        <v>3597</v>
      </c>
      <c r="J67" s="215">
        <f t="shared" si="28"/>
        <v>-2130.2237567695156</v>
      </c>
      <c r="K67" s="215">
        <f t="shared" si="28"/>
        <v>63897</v>
      </c>
      <c r="L67" s="215">
        <f t="shared" si="28"/>
        <v>63097</v>
      </c>
      <c r="M67" s="215">
        <f t="shared" si="28"/>
        <v>57369.776243230488</v>
      </c>
      <c r="N67" s="215">
        <f t="shared" si="28"/>
        <v>62988</v>
      </c>
      <c r="O67" s="215">
        <f t="shared" si="28"/>
        <v>62188</v>
      </c>
      <c r="P67" s="215">
        <f t="shared" si="28"/>
        <v>52979.076243230484</v>
      </c>
      <c r="Q67" s="215">
        <f t="shared" si="28"/>
        <v>59500</v>
      </c>
      <c r="R67" s="215">
        <f t="shared" si="28"/>
        <v>59500</v>
      </c>
      <c r="S67" s="215">
        <f t="shared" si="28"/>
        <v>53772.776243230488</v>
      </c>
      <c r="T67" s="215">
        <f t="shared" si="28"/>
        <v>0</v>
      </c>
      <c r="U67" s="215">
        <f t="shared" si="28"/>
        <v>0</v>
      </c>
      <c r="V67" s="215">
        <f t="shared" si="28"/>
        <v>0</v>
      </c>
      <c r="W67" s="189">
        <f>SUM(B67:V67)</f>
        <v>476431.29702237883</v>
      </c>
      <c r="X67" s="189">
        <f>NPV('1сел'!$X$1,B67:V67)</f>
        <v>349323.66539763135</v>
      </c>
    </row>
    <row r="68" spans="1:25" x14ac:dyDescent="0.25">
      <c r="A68" t="s">
        <v>420</v>
      </c>
    </row>
    <row r="69" spans="1:25" x14ac:dyDescent="0.25">
      <c r="A69" t="s">
        <v>320</v>
      </c>
      <c r="B69" s="215">
        <f>'1сел'!B38</f>
        <v>-7603</v>
      </c>
      <c r="C69" s="215">
        <f>'1сел'!C38</f>
        <v>1325</v>
      </c>
      <c r="D69" s="215">
        <f>'1сел'!D38</f>
        <v>0</v>
      </c>
      <c r="E69" s="215">
        <f>'1сел'!E38</f>
        <v>0</v>
      </c>
      <c r="F69" s="215">
        <f>'1сел'!F38</f>
        <v>4341</v>
      </c>
      <c r="G69" s="215">
        <f>'1сел'!G38</f>
        <v>4390.7</v>
      </c>
      <c r="H69" s="215">
        <f>'1сел'!H38</f>
        <v>4397</v>
      </c>
      <c r="I69" s="215">
        <f>'1сел'!I38</f>
        <v>4397</v>
      </c>
      <c r="J69" s="215">
        <f>'1сел'!J38</f>
        <v>2357</v>
      </c>
      <c r="K69" s="215">
        <f>'1сел'!K38</f>
        <v>12897</v>
      </c>
      <c r="L69" s="215">
        <f>'1сел'!L38</f>
        <v>12897</v>
      </c>
      <c r="M69" s="215">
        <f>'1сел'!M38</f>
        <v>10857</v>
      </c>
      <c r="N69" s="215">
        <f>'1сел'!N38</f>
        <v>11988</v>
      </c>
      <c r="O69" s="215">
        <f>'1сел'!O38</f>
        <v>11988</v>
      </c>
      <c r="P69" s="215">
        <f>'1сел'!P38</f>
        <v>6466.3</v>
      </c>
      <c r="Q69" s="215">
        <f>'1сел'!Q38</f>
        <v>8500</v>
      </c>
      <c r="R69" s="215">
        <f>'1сел'!R38</f>
        <v>8500</v>
      </c>
      <c r="S69" s="215">
        <f>'1сел'!S38</f>
        <v>8500</v>
      </c>
      <c r="T69" s="215">
        <f>'1сел'!T38</f>
        <v>0</v>
      </c>
      <c r="U69" s="215">
        <f>'1сел'!U38</f>
        <v>0</v>
      </c>
      <c r="V69" s="215">
        <f>'1сел'!V38</f>
        <v>0</v>
      </c>
      <c r="W69" s="189">
        <f>SUM(B69:V69)</f>
        <v>106198</v>
      </c>
      <c r="X69" s="189">
        <f>NPV('1сел'!$X$1,B69:V69)</f>
        <v>82086.987473545305</v>
      </c>
    </row>
    <row r="70" spans="1:25" x14ac:dyDescent="0.25">
      <c r="A70" t="s">
        <v>321</v>
      </c>
      <c r="B70" s="215">
        <f>'3товар'!B26*1000</f>
        <v>0</v>
      </c>
      <c r="C70" s="215">
        <f>'3товар'!C26*1000</f>
        <v>0</v>
      </c>
      <c r="D70" s="215">
        <f>'3товар'!D26*1000</f>
        <v>0</v>
      </c>
      <c r="E70" s="215">
        <f>'3товар'!E26*1000</f>
        <v>0</v>
      </c>
      <c r="F70" s="215">
        <f>'3товар'!F26*1000</f>
        <v>0</v>
      </c>
      <c r="G70" s="215">
        <f>'3товар'!G26*1000</f>
        <v>0</v>
      </c>
      <c r="H70" s="215">
        <f>'3товар'!H26*1000</f>
        <v>0</v>
      </c>
      <c r="I70" s="215">
        <f>'3товар'!I26*1000</f>
        <v>0</v>
      </c>
      <c r="J70" s="215">
        <f>'3товар'!J26*1000</f>
        <v>0</v>
      </c>
      <c r="K70" s="215">
        <f>'3товар'!K26*1000</f>
        <v>51000</v>
      </c>
      <c r="L70" s="215">
        <f>'3товар'!L26*1000</f>
        <v>51000</v>
      </c>
      <c r="M70" s="215">
        <f>'3товар'!M26*1000</f>
        <v>51000</v>
      </c>
      <c r="N70" s="215">
        <f>'3товар'!N26*1000</f>
        <v>51000</v>
      </c>
      <c r="O70" s="215">
        <f>'3товар'!O26*1000</f>
        <v>51000</v>
      </c>
      <c r="P70" s="215">
        <f>'3товар'!P26*1000</f>
        <v>51000</v>
      </c>
      <c r="Q70" s="215">
        <f>'3товар'!Q26*1000</f>
        <v>51000</v>
      </c>
      <c r="R70" s="215">
        <f>'3товар'!R26*1000</f>
        <v>51000</v>
      </c>
      <c r="S70" s="215">
        <f>'3товар'!S26*1000</f>
        <v>51000</v>
      </c>
      <c r="T70" s="215">
        <f>'3товар'!T26*1000</f>
        <v>0</v>
      </c>
      <c r="U70" s="215">
        <f>'3товар'!U26*1000</f>
        <v>0</v>
      </c>
      <c r="V70" s="215">
        <f>'3товар'!V26*1000</f>
        <v>0</v>
      </c>
      <c r="W70" s="189">
        <f>SUM(B70:V70)</f>
        <v>459000</v>
      </c>
      <c r="X70" s="189">
        <f>NPV('1сел'!$X$1,B70:V70)</f>
        <v>348319.52181293961</v>
      </c>
    </row>
    <row r="71" spans="1:25" x14ac:dyDescent="0.25">
      <c r="A71" t="s">
        <v>322</v>
      </c>
      <c r="B71" s="215">
        <f>'2сем'!B38</f>
        <v>0</v>
      </c>
      <c r="C71" s="215">
        <f>'2сем'!C38</f>
        <v>0</v>
      </c>
      <c r="D71" s="215">
        <f>'2сем'!D38</f>
        <v>0</v>
      </c>
      <c r="E71" s="215">
        <f>'2сем'!E38</f>
        <v>0</v>
      </c>
      <c r="F71" s="215">
        <f>'2сем'!F38</f>
        <v>0</v>
      </c>
      <c r="G71" s="215">
        <f>'2сем'!G38</f>
        <v>0</v>
      </c>
      <c r="H71" s="215">
        <f>'2сем'!H38</f>
        <v>0</v>
      </c>
      <c r="I71" s="215">
        <f>'2сем'!I38</f>
        <v>-800.00000000000011</v>
      </c>
      <c r="J71" s="215">
        <f>'2сем'!J38</f>
        <v>1240</v>
      </c>
      <c r="K71" s="215">
        <f>'2сем'!K38</f>
        <v>0</v>
      </c>
      <c r="L71" s="215">
        <f>'2сем'!L38</f>
        <v>-800.00000000000011</v>
      </c>
      <c r="M71" s="215">
        <f>'2сем'!M38</f>
        <v>1240</v>
      </c>
      <c r="N71" s="215">
        <f>'2сем'!N38</f>
        <v>0</v>
      </c>
      <c r="O71" s="215">
        <f>'2сем'!O38</f>
        <v>-800.00000000000011</v>
      </c>
      <c r="P71" s="215">
        <f>'2сем'!P38</f>
        <v>1240</v>
      </c>
      <c r="Q71" s="215">
        <f>'2сем'!Q38</f>
        <v>0</v>
      </c>
      <c r="R71" s="215">
        <f>'2сем'!R38</f>
        <v>0</v>
      </c>
      <c r="S71" s="215">
        <f>'2сем'!S38</f>
        <v>0</v>
      </c>
      <c r="T71" s="215">
        <f>'2сем'!T38</f>
        <v>0</v>
      </c>
      <c r="U71" s="215">
        <f>'2сем'!U38</f>
        <v>0</v>
      </c>
      <c r="V71" s="215">
        <f>'2сем'!V38</f>
        <v>0</v>
      </c>
      <c r="W71" s="189">
        <f>SUM(B71:V71)</f>
        <v>1319.9999999999995</v>
      </c>
      <c r="X71" s="189">
        <f>NPV('1сел'!$X$1,B71:V71)</f>
        <v>1004.143584691761</v>
      </c>
    </row>
    <row r="72" spans="1:25" x14ac:dyDescent="0.25">
      <c r="A72" s="299" t="s">
        <v>325</v>
      </c>
      <c r="B72" s="419">
        <f>SUM(B64:B66)</f>
        <v>-41292.551510408914</v>
      </c>
      <c r="C72" s="215">
        <f t="shared" ref="C72:V72" si="29">SUM(C69:C71)</f>
        <v>1325</v>
      </c>
      <c r="D72" s="215">
        <f t="shared" si="29"/>
        <v>0</v>
      </c>
      <c r="E72" s="215">
        <f t="shared" si="29"/>
        <v>0</v>
      </c>
      <c r="F72" s="215">
        <f t="shared" si="29"/>
        <v>4341</v>
      </c>
      <c r="G72" s="215">
        <f t="shared" si="29"/>
        <v>4390.7</v>
      </c>
      <c r="H72" s="215">
        <f t="shared" si="29"/>
        <v>4397</v>
      </c>
      <c r="I72" s="215">
        <f t="shared" si="29"/>
        <v>3597</v>
      </c>
      <c r="J72" s="215">
        <f t="shared" si="29"/>
        <v>3597</v>
      </c>
      <c r="K72" s="215">
        <f t="shared" si="29"/>
        <v>63897</v>
      </c>
      <c r="L72" s="215">
        <f t="shared" si="29"/>
        <v>63097</v>
      </c>
      <c r="M72" s="215">
        <f t="shared" si="29"/>
        <v>63097</v>
      </c>
      <c r="N72" s="215">
        <f t="shared" si="29"/>
        <v>62988</v>
      </c>
      <c r="O72" s="215">
        <f t="shared" si="29"/>
        <v>62188</v>
      </c>
      <c r="P72" s="215">
        <f t="shared" si="29"/>
        <v>58706.3</v>
      </c>
      <c r="Q72" s="215">
        <f t="shared" si="29"/>
        <v>59500</v>
      </c>
      <c r="R72" s="215">
        <f t="shared" si="29"/>
        <v>59500</v>
      </c>
      <c r="S72" s="215">
        <f t="shared" si="29"/>
        <v>59500</v>
      </c>
      <c r="T72" s="215">
        <f t="shared" si="29"/>
        <v>0</v>
      </c>
      <c r="U72" s="215">
        <f t="shared" si="29"/>
        <v>0</v>
      </c>
      <c r="V72" s="215">
        <f t="shared" si="29"/>
        <v>0</v>
      </c>
      <c r="W72" s="189">
        <f>SUM(B72:V72)</f>
        <v>532828.44848959101</v>
      </c>
      <c r="X72" s="277">
        <f>NPV('1сел'!$X$1,B72:V72)</f>
        <v>398381.68080214824</v>
      </c>
    </row>
    <row r="73" spans="1:25" s="264" customFormat="1" ht="12.75" x14ac:dyDescent="0.2">
      <c r="A73" s="264" t="s">
        <v>326</v>
      </c>
      <c r="B73" s="266">
        <f>B67-B72</f>
        <v>0</v>
      </c>
      <c r="C73" s="266">
        <f t="shared" ref="C73:V73" si="30">C67-C72</f>
        <v>-8624.5251866646831</v>
      </c>
      <c r="D73" s="266">
        <f t="shared" si="30"/>
        <v>-12344.413165939</v>
      </c>
      <c r="E73" s="266">
        <f t="shared" si="30"/>
        <v>-12344.413165939</v>
      </c>
      <c r="F73" s="266">
        <f t="shared" si="30"/>
        <v>-157.21790704857449</v>
      </c>
      <c r="G73" s="266">
        <f t="shared" si="30"/>
        <v>-17.687014542964789</v>
      </c>
      <c r="H73" s="266">
        <f t="shared" si="30"/>
        <v>0</v>
      </c>
      <c r="I73" s="266">
        <f t="shared" si="30"/>
        <v>0</v>
      </c>
      <c r="J73" s="266">
        <f t="shared" si="30"/>
        <v>-5727.2237567695156</v>
      </c>
      <c r="K73" s="266">
        <f t="shared" si="30"/>
        <v>0</v>
      </c>
      <c r="L73" s="266">
        <f t="shared" si="30"/>
        <v>0</v>
      </c>
      <c r="M73" s="266">
        <f t="shared" si="30"/>
        <v>-5727.223756769512</v>
      </c>
      <c r="N73" s="266">
        <f t="shared" si="30"/>
        <v>0</v>
      </c>
      <c r="O73" s="266">
        <f t="shared" si="30"/>
        <v>0</v>
      </c>
      <c r="P73" s="266">
        <f t="shared" si="30"/>
        <v>-5727.2237567695192</v>
      </c>
      <c r="Q73" s="266">
        <f t="shared" si="30"/>
        <v>0</v>
      </c>
      <c r="R73" s="266">
        <f t="shared" si="30"/>
        <v>0</v>
      </c>
      <c r="S73" s="266">
        <f t="shared" si="30"/>
        <v>-5727.223756769512</v>
      </c>
      <c r="T73" s="266">
        <f t="shared" si="30"/>
        <v>0</v>
      </c>
      <c r="U73" s="266">
        <f t="shared" si="30"/>
        <v>0</v>
      </c>
      <c r="V73" s="266">
        <f t="shared" si="30"/>
        <v>0</v>
      </c>
      <c r="W73" s="265"/>
      <c r="X73" s="265"/>
      <c r="Y73" s="265"/>
    </row>
    <row r="74" spans="1:25" s="72" customFormat="1" ht="11.25" x14ac:dyDescent="0.2">
      <c r="A74" s="72" t="s">
        <v>350</v>
      </c>
      <c r="B74" s="288">
        <f>(1+'1сел'!$X$1)^B$2</f>
        <v>1.02</v>
      </c>
      <c r="C74" s="288">
        <f>(1+'1сел'!$X$1)^C$2</f>
        <v>1.0404</v>
      </c>
      <c r="D74" s="288">
        <f>(1+'1сел'!$X$1)^D$2</f>
        <v>1.0612079999999999</v>
      </c>
      <c r="E74" s="288">
        <f>(1+'1сел'!$X$1)^E$2</f>
        <v>1.08243216</v>
      </c>
      <c r="F74" s="288">
        <f>(1+'1сел'!$X$1)^F$2</f>
        <v>1.1040808032</v>
      </c>
      <c r="G74" s="288">
        <f>(1+'1сел'!$X$1)^G$2</f>
        <v>1.1261624192640001</v>
      </c>
      <c r="H74" s="288">
        <f>(1+'1сел'!$X$1)^H$2</f>
        <v>1.1486856676492798</v>
      </c>
      <c r="I74" s="288">
        <f>(1+'1сел'!$X$1)^I$2</f>
        <v>1.1716593810022655</v>
      </c>
      <c r="J74" s="288">
        <f>(1+'1сел'!$X$1)^J$2</f>
        <v>1.1950925686223108</v>
      </c>
      <c r="K74" s="288">
        <f>(1+'1сел'!$X$1)^K$2</f>
        <v>1.2189944199947571</v>
      </c>
      <c r="L74" s="288">
        <f>(1+'1сел'!$X$1)^L$2</f>
        <v>1.243374308394652</v>
      </c>
      <c r="M74" s="288">
        <f>(1+'1сел'!$X$1)^M$2</f>
        <v>1.2682417945625453</v>
      </c>
      <c r="N74" s="288">
        <f>(1+'1сел'!$X$1)^N$2</f>
        <v>1.2936066304537961</v>
      </c>
      <c r="O74" s="288">
        <f>(1+'1сел'!$X$1)^O$2</f>
        <v>1.3194787630628722</v>
      </c>
      <c r="P74" s="288">
        <f>(1+'1сел'!$X$1)^P$2</f>
        <v>1.3458683383241292</v>
      </c>
      <c r="Q74" s="288">
        <f>(1+'1сел'!$X$1)^Q$2</f>
        <v>1.372785705090612</v>
      </c>
      <c r="R74" s="288">
        <f>(1+'1сел'!$X$1)^R$2</f>
        <v>1.4002414191924244</v>
      </c>
      <c r="S74" s="288">
        <f>(1+'1сел'!$X$1)^S$2</f>
        <v>1.4282462475762727</v>
      </c>
      <c r="T74" s="288">
        <f>(1+'1сел'!$X$1)^T$2</f>
        <v>1.4568111725277981</v>
      </c>
      <c r="U74" s="288">
        <f>(1+'1сел'!$X$1)^U$2</f>
        <v>1.4859473959783542</v>
      </c>
      <c r="V74" s="288">
        <f>(1+'1сел'!$X$1)^V$2</f>
        <v>1.5156663438979212</v>
      </c>
      <c r="W74" s="287"/>
      <c r="X74" s="287"/>
      <c r="Y74" s="287"/>
    </row>
    <row r="75" spans="1:25" s="264" customFormat="1" ht="12.75" x14ac:dyDescent="0.2">
      <c r="A75" s="285" t="s">
        <v>348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5"/>
      <c r="X75" s="265"/>
      <c r="Y75" s="265"/>
    </row>
    <row r="76" spans="1:25" s="264" customFormat="1" ht="18.75" x14ac:dyDescent="0.3">
      <c r="A76" s="264" t="str">
        <f>A69</f>
        <v>Селекционера</v>
      </c>
      <c r="B76" s="289">
        <f>B64/B$74</f>
        <v>-40482.893637655798</v>
      </c>
      <c r="C76" s="289">
        <f t="shared" ref="C76:V78" si="31">C64/C$74</f>
        <v>-7016.0757272824712</v>
      </c>
      <c r="D76" s="289">
        <f t="shared" si="31"/>
        <v>-11632.416233140912</v>
      </c>
      <c r="E76" s="289">
        <f t="shared" si="31"/>
        <v>-11404.329640334226</v>
      </c>
      <c r="F76" s="289">
        <f t="shared" si="31"/>
        <v>3789.3803432007949</v>
      </c>
      <c r="G76" s="289">
        <f t="shared" si="31"/>
        <v>3883.1103850144495</v>
      </c>
      <c r="H76" s="289">
        <f t="shared" si="31"/>
        <v>3827.8531053653796</v>
      </c>
      <c r="I76" s="289">
        <f t="shared" si="31"/>
        <v>3752.7971621229208</v>
      </c>
      <c r="J76" s="289">
        <f t="shared" si="31"/>
        <v>-2820.0524756460259</v>
      </c>
      <c r="K76" s="289">
        <f t="shared" si="31"/>
        <v>10580.032023489877</v>
      </c>
      <c r="L76" s="289">
        <f t="shared" si="31"/>
        <v>10372.580415186158</v>
      </c>
      <c r="M76" s="289">
        <f t="shared" si="31"/>
        <v>4044.7935600481442</v>
      </c>
      <c r="N76" s="289">
        <f t="shared" si="31"/>
        <v>9267.1139106597038</v>
      </c>
      <c r="O76" s="289">
        <f t="shared" si="31"/>
        <v>9085.4057947644142</v>
      </c>
      <c r="P76" s="289">
        <f t="shared" si="31"/>
        <v>549.14453530482751</v>
      </c>
      <c r="Q76" s="289">
        <f t="shared" si="31"/>
        <v>6191.7894165709931</v>
      </c>
      <c r="R76" s="289">
        <f t="shared" si="31"/>
        <v>6070.3817809519533</v>
      </c>
      <c r="S76" s="289">
        <f t="shared" si="31"/>
        <v>1941.3852813797851</v>
      </c>
      <c r="T76" s="289">
        <f t="shared" si="31"/>
        <v>0</v>
      </c>
      <c r="U76" s="289">
        <f t="shared" si="31"/>
        <v>0</v>
      </c>
      <c r="V76" s="289">
        <f t="shared" si="31"/>
        <v>0</v>
      </c>
      <c r="W76" s="304">
        <f>SUM(B76:V76)</f>
        <v>-3.3423930290155113E-11</v>
      </c>
      <c r="X76" s="265"/>
      <c r="Y76" s="265"/>
    </row>
    <row r="77" spans="1:25" s="264" customFormat="1" ht="15.75" x14ac:dyDescent="0.25">
      <c r="A77" s="264" t="str">
        <f>A70</f>
        <v>Товарное производство</v>
      </c>
      <c r="B77" s="289">
        <f>B65/B$74</f>
        <v>0</v>
      </c>
      <c r="C77" s="289">
        <f t="shared" si="31"/>
        <v>0</v>
      </c>
      <c r="D77" s="289">
        <f t="shared" si="31"/>
        <v>0</v>
      </c>
      <c r="E77" s="289">
        <f t="shared" si="31"/>
        <v>0</v>
      </c>
      <c r="F77" s="289">
        <f t="shared" si="31"/>
        <v>0</v>
      </c>
      <c r="G77" s="289">
        <f t="shared" si="31"/>
        <v>0</v>
      </c>
      <c r="H77" s="289">
        <f t="shared" si="31"/>
        <v>0</v>
      </c>
      <c r="I77" s="289">
        <f t="shared" si="31"/>
        <v>0</v>
      </c>
      <c r="J77" s="289">
        <f t="shared" si="31"/>
        <v>0</v>
      </c>
      <c r="K77" s="289">
        <f t="shared" si="31"/>
        <v>41837.763293632917</v>
      </c>
      <c r="L77" s="289">
        <f t="shared" si="31"/>
        <v>41017.414993757775</v>
      </c>
      <c r="M77" s="289">
        <f t="shared" si="31"/>
        <v>40213.151954664478</v>
      </c>
      <c r="N77" s="289">
        <f t="shared" si="31"/>
        <v>39424.65877908282</v>
      </c>
      <c r="O77" s="289">
        <f t="shared" si="31"/>
        <v>38651.62625400276</v>
      </c>
      <c r="P77" s="289">
        <f t="shared" si="31"/>
        <v>37893.751229414484</v>
      </c>
      <c r="Q77" s="289">
        <f t="shared" si="31"/>
        <v>37150.736499425955</v>
      </c>
      <c r="R77" s="289">
        <f t="shared" si="31"/>
        <v>36422.29068571172</v>
      </c>
      <c r="S77" s="289">
        <f t="shared" si="31"/>
        <v>35708.128123246788</v>
      </c>
      <c r="T77" s="289">
        <f t="shared" si="31"/>
        <v>0</v>
      </c>
      <c r="U77" s="289">
        <f t="shared" si="31"/>
        <v>0</v>
      </c>
      <c r="V77" s="289">
        <f t="shared" si="31"/>
        <v>0</v>
      </c>
      <c r="W77" s="532">
        <f>SUM(B77:V77)</f>
        <v>348319.52181293967</v>
      </c>
      <c r="X77" s="265"/>
      <c r="Y77" s="265"/>
    </row>
    <row r="78" spans="1:25" s="264" customFormat="1" ht="18.75" x14ac:dyDescent="0.3">
      <c r="A78" s="264" t="str">
        <f>A71</f>
        <v>Семеноводство</v>
      </c>
      <c r="B78" s="289">
        <f>B66/B$74</f>
        <v>0</v>
      </c>
      <c r="C78" s="289">
        <f t="shared" si="31"/>
        <v>0</v>
      </c>
      <c r="D78" s="289">
        <f t="shared" si="31"/>
        <v>0</v>
      </c>
      <c r="E78" s="289">
        <f t="shared" si="31"/>
        <v>0</v>
      </c>
      <c r="F78" s="289">
        <f t="shared" si="31"/>
        <v>0</v>
      </c>
      <c r="G78" s="289">
        <f t="shared" si="31"/>
        <v>0</v>
      </c>
      <c r="H78" s="289">
        <f t="shared" si="31"/>
        <v>0</v>
      </c>
      <c r="I78" s="289">
        <f t="shared" si="31"/>
        <v>-682.79229695208937</v>
      </c>
      <c r="J78" s="289">
        <f t="shared" si="31"/>
        <v>1037.5765296820964</v>
      </c>
      <c r="K78" s="289">
        <f t="shared" si="31"/>
        <v>0</v>
      </c>
      <c r="L78" s="289">
        <f t="shared" si="31"/>
        <v>-643.41043127463183</v>
      </c>
      <c r="M78" s="289">
        <f t="shared" si="31"/>
        <v>977.73153772125397</v>
      </c>
      <c r="N78" s="289">
        <f t="shared" si="31"/>
        <v>0</v>
      </c>
      <c r="O78" s="289">
        <f t="shared" si="31"/>
        <v>-606.30001967063163</v>
      </c>
      <c r="P78" s="289">
        <f t="shared" si="31"/>
        <v>921.33826518576393</v>
      </c>
      <c r="Q78" s="289">
        <f t="shared" si="31"/>
        <v>0</v>
      </c>
      <c r="R78" s="289">
        <f t="shared" si="31"/>
        <v>0</v>
      </c>
      <c r="S78" s="289">
        <f t="shared" si="31"/>
        <v>0</v>
      </c>
      <c r="T78" s="289">
        <f t="shared" si="31"/>
        <v>0</v>
      </c>
      <c r="U78" s="289">
        <f t="shared" si="31"/>
        <v>0</v>
      </c>
      <c r="V78" s="289">
        <f t="shared" si="31"/>
        <v>0</v>
      </c>
      <c r="W78" s="304">
        <f>SUM(B78:V78)</f>
        <v>1004.1435846917615</v>
      </c>
      <c r="X78" s="265"/>
      <c r="Y78" s="265"/>
    </row>
    <row r="79" spans="1:25" s="264" customFormat="1" ht="18.75" x14ac:dyDescent="0.3">
      <c r="A79" s="264" t="str">
        <f>A72</f>
        <v>Сумма приростов по табл.</v>
      </c>
      <c r="B79" s="289">
        <f t="shared" ref="B79:V79" si="32">B72/B$74</f>
        <v>-40482.893637655798</v>
      </c>
      <c r="C79" s="289">
        <f t="shared" si="32"/>
        <v>1273.5486351403306</v>
      </c>
      <c r="D79" s="289">
        <f t="shared" si="32"/>
        <v>0</v>
      </c>
      <c r="E79" s="289">
        <f t="shared" si="32"/>
        <v>0</v>
      </c>
      <c r="F79" s="289">
        <f t="shared" si="32"/>
        <v>3931.777445471665</v>
      </c>
      <c r="G79" s="289">
        <f t="shared" si="32"/>
        <v>3898.8159477649128</v>
      </c>
      <c r="H79" s="289">
        <f t="shared" si="32"/>
        <v>3827.8531053653796</v>
      </c>
      <c r="I79" s="289">
        <f t="shared" si="32"/>
        <v>3070.0048651708316</v>
      </c>
      <c r="J79" s="289">
        <f t="shared" si="32"/>
        <v>3009.8086913439524</v>
      </c>
      <c r="K79" s="289">
        <f t="shared" si="32"/>
        <v>52417.7953171228</v>
      </c>
      <c r="L79" s="289">
        <f t="shared" si="32"/>
        <v>50746.584977669299</v>
      </c>
      <c r="M79" s="289">
        <f t="shared" si="32"/>
        <v>49751.553899675775</v>
      </c>
      <c r="N79" s="289">
        <f t="shared" si="32"/>
        <v>48691.772689742524</v>
      </c>
      <c r="O79" s="289">
        <f t="shared" si="32"/>
        <v>47130.732029096544</v>
      </c>
      <c r="P79" s="289">
        <f t="shared" si="32"/>
        <v>43619.645643125012</v>
      </c>
      <c r="Q79" s="289">
        <f t="shared" si="32"/>
        <v>43342.52591599695</v>
      </c>
      <c r="R79" s="289">
        <f t="shared" si="32"/>
        <v>42492.672466663673</v>
      </c>
      <c r="S79" s="289">
        <f t="shared" si="32"/>
        <v>41659.482810454589</v>
      </c>
      <c r="T79" s="289">
        <f t="shared" si="32"/>
        <v>0</v>
      </c>
      <c r="U79" s="289">
        <f t="shared" si="32"/>
        <v>0</v>
      </c>
      <c r="V79" s="289">
        <f t="shared" si="32"/>
        <v>0</v>
      </c>
      <c r="W79" s="305">
        <f>SUM(B79:V79)</f>
        <v>398381.68080214842</v>
      </c>
      <c r="X79" s="265"/>
      <c r="Y79" s="265"/>
    </row>
    <row r="80" spans="1:25" s="285" customFormat="1" ht="12.75" x14ac:dyDescent="0.2">
      <c r="A80" s="285" t="s">
        <v>349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</row>
    <row r="81" spans="1:26" s="264" customFormat="1" ht="12.75" x14ac:dyDescent="0.2">
      <c r="A81" s="264" t="str">
        <f>A76</f>
        <v>Селекционера</v>
      </c>
      <c r="B81" s="289">
        <f>B76</f>
        <v>-40482.893637655798</v>
      </c>
      <c r="C81" s="289">
        <f>B81+C76</f>
        <v>-47498.969364938268</v>
      </c>
      <c r="D81" s="289">
        <f t="shared" ref="D81:V84" si="33">C81+D76</f>
        <v>-59131.385598079178</v>
      </c>
      <c r="E81" s="289">
        <f t="shared" si="33"/>
        <v>-70535.71523841341</v>
      </c>
      <c r="F81" s="289">
        <f t="shared" si="33"/>
        <v>-66746.334895212611</v>
      </c>
      <c r="G81" s="289">
        <f t="shared" si="33"/>
        <v>-62863.224510198161</v>
      </c>
      <c r="H81" s="289">
        <f t="shared" si="33"/>
        <v>-59035.371404832782</v>
      </c>
      <c r="I81" s="289">
        <f t="shared" si="33"/>
        <v>-55282.574242709859</v>
      </c>
      <c r="J81" s="289">
        <f t="shared" si="33"/>
        <v>-58102.626718355888</v>
      </c>
      <c r="K81" s="289">
        <f t="shared" si="33"/>
        <v>-47522.594694866013</v>
      </c>
      <c r="L81" s="289">
        <f t="shared" si="33"/>
        <v>-37150.014279679854</v>
      </c>
      <c r="M81" s="289">
        <f t="shared" si="33"/>
        <v>-33105.22071963171</v>
      </c>
      <c r="N81" s="289">
        <f t="shared" si="33"/>
        <v>-23838.106808972007</v>
      </c>
      <c r="O81" s="289">
        <f t="shared" si="33"/>
        <v>-14752.701014207592</v>
      </c>
      <c r="P81" s="289">
        <f t="shared" si="33"/>
        <v>-14203.556478902765</v>
      </c>
      <c r="Q81" s="289">
        <f t="shared" si="33"/>
        <v>-8011.7670623317717</v>
      </c>
      <c r="R81" s="289">
        <f t="shared" si="33"/>
        <v>-1941.3852813798185</v>
      </c>
      <c r="S81" s="289">
        <f t="shared" si="33"/>
        <v>-3.3423930290155113E-11</v>
      </c>
      <c r="T81" s="289">
        <f t="shared" si="33"/>
        <v>-3.3423930290155113E-11</v>
      </c>
      <c r="U81" s="289">
        <f t="shared" si="33"/>
        <v>-3.3423930290155113E-11</v>
      </c>
      <c r="V81" s="289">
        <f t="shared" si="33"/>
        <v>-3.3423930290155113E-11</v>
      </c>
      <c r="W81" s="265"/>
      <c r="X81" s="265"/>
      <c r="Y81" s="265"/>
    </row>
    <row r="82" spans="1:26" s="264" customFormat="1" ht="12.75" x14ac:dyDescent="0.2">
      <c r="A82" s="264" t="str">
        <f t="shared" ref="A82:B84" si="34">A77</f>
        <v>Товарное производство</v>
      </c>
      <c r="B82" s="289">
        <f t="shared" si="34"/>
        <v>0</v>
      </c>
      <c r="C82" s="289">
        <f>B82+C77</f>
        <v>0</v>
      </c>
      <c r="D82" s="289">
        <f t="shared" ref="D82:R82" si="35">C82+D77</f>
        <v>0</v>
      </c>
      <c r="E82" s="289">
        <f t="shared" si="35"/>
        <v>0</v>
      </c>
      <c r="F82" s="289">
        <f t="shared" si="35"/>
        <v>0</v>
      </c>
      <c r="G82" s="289">
        <f t="shared" si="35"/>
        <v>0</v>
      </c>
      <c r="H82" s="289">
        <f t="shared" si="35"/>
        <v>0</v>
      </c>
      <c r="I82" s="289">
        <f t="shared" si="35"/>
        <v>0</v>
      </c>
      <c r="J82" s="289">
        <f t="shared" si="35"/>
        <v>0</v>
      </c>
      <c r="K82" s="289">
        <f t="shared" si="35"/>
        <v>41837.763293632917</v>
      </c>
      <c r="L82" s="289">
        <f t="shared" si="35"/>
        <v>82855.178287390692</v>
      </c>
      <c r="M82" s="289">
        <f t="shared" si="35"/>
        <v>123068.33024205518</v>
      </c>
      <c r="N82" s="289">
        <f t="shared" si="35"/>
        <v>162492.989021138</v>
      </c>
      <c r="O82" s="289">
        <f t="shared" si="35"/>
        <v>201144.61527514076</v>
      </c>
      <c r="P82" s="289">
        <f t="shared" si="35"/>
        <v>239038.36650455525</v>
      </c>
      <c r="Q82" s="289">
        <f t="shared" si="35"/>
        <v>276189.10300398117</v>
      </c>
      <c r="R82" s="289">
        <f t="shared" si="35"/>
        <v>312611.39368969289</v>
      </c>
      <c r="S82" s="289">
        <f t="shared" si="33"/>
        <v>348319.52181293967</v>
      </c>
      <c r="T82" s="289">
        <f t="shared" si="33"/>
        <v>348319.52181293967</v>
      </c>
      <c r="U82" s="289">
        <f t="shared" si="33"/>
        <v>348319.52181293967</v>
      </c>
      <c r="V82" s="289">
        <f t="shared" si="33"/>
        <v>348319.52181293967</v>
      </c>
      <c r="W82" s="265"/>
      <c r="X82" s="265"/>
      <c r="Y82" s="265"/>
    </row>
    <row r="83" spans="1:26" s="264" customFormat="1" ht="12.75" x14ac:dyDescent="0.2">
      <c r="A83" s="264" t="str">
        <f t="shared" si="34"/>
        <v>Семеноводство</v>
      </c>
      <c r="B83" s="289">
        <f t="shared" si="34"/>
        <v>0</v>
      </c>
      <c r="C83" s="289">
        <f>B83+C78</f>
        <v>0</v>
      </c>
      <c r="D83" s="289">
        <f t="shared" si="33"/>
        <v>0</v>
      </c>
      <c r="E83" s="289">
        <f t="shared" si="33"/>
        <v>0</v>
      </c>
      <c r="F83" s="289">
        <f t="shared" si="33"/>
        <v>0</v>
      </c>
      <c r="G83" s="289">
        <f t="shared" si="33"/>
        <v>0</v>
      </c>
      <c r="H83" s="289">
        <f t="shared" si="33"/>
        <v>0</v>
      </c>
      <c r="I83" s="289">
        <f t="shared" si="33"/>
        <v>-682.79229695208937</v>
      </c>
      <c r="J83" s="289">
        <f t="shared" si="33"/>
        <v>354.78423273000703</v>
      </c>
      <c r="K83" s="289">
        <f t="shared" si="33"/>
        <v>354.78423273000703</v>
      </c>
      <c r="L83" s="289">
        <f t="shared" si="33"/>
        <v>-288.6261985446248</v>
      </c>
      <c r="M83" s="289">
        <f t="shared" si="33"/>
        <v>689.10533917662917</v>
      </c>
      <c r="N83" s="289">
        <f t="shared" si="33"/>
        <v>689.10533917662917</v>
      </c>
      <c r="O83" s="289">
        <f t="shared" si="33"/>
        <v>82.805319505997545</v>
      </c>
      <c r="P83" s="289">
        <f t="shared" si="33"/>
        <v>1004.1435846917615</v>
      </c>
      <c r="Q83" s="289">
        <f t="shared" si="33"/>
        <v>1004.1435846917615</v>
      </c>
      <c r="R83" s="289">
        <f t="shared" si="33"/>
        <v>1004.1435846917615</v>
      </c>
      <c r="S83" s="289">
        <f t="shared" si="33"/>
        <v>1004.1435846917615</v>
      </c>
      <c r="T83" s="289">
        <f t="shared" si="33"/>
        <v>1004.1435846917615</v>
      </c>
      <c r="U83" s="289">
        <f t="shared" si="33"/>
        <v>1004.1435846917615</v>
      </c>
      <c r="V83" s="289">
        <f t="shared" si="33"/>
        <v>1004.1435846917615</v>
      </c>
      <c r="W83" s="265"/>
      <c r="X83" s="265"/>
      <c r="Y83" s="265"/>
    </row>
    <row r="84" spans="1:26" s="264" customFormat="1" ht="12.75" x14ac:dyDescent="0.2">
      <c r="A84" s="264" t="str">
        <f t="shared" si="34"/>
        <v>Сумма приростов по табл.</v>
      </c>
      <c r="B84" s="289">
        <f t="shared" si="34"/>
        <v>-40482.893637655798</v>
      </c>
      <c r="C84" s="289">
        <f>B84+C79</f>
        <v>-39209.345002515467</v>
      </c>
      <c r="D84" s="289">
        <f t="shared" si="33"/>
        <v>-39209.345002515467</v>
      </c>
      <c r="E84" s="289">
        <f t="shared" si="33"/>
        <v>-39209.345002515467</v>
      </c>
      <c r="F84" s="289">
        <f t="shared" si="33"/>
        <v>-35277.567557043803</v>
      </c>
      <c r="G84" s="289">
        <f t="shared" si="33"/>
        <v>-31378.75160927889</v>
      </c>
      <c r="H84" s="289">
        <f t="shared" si="33"/>
        <v>-27550.898503913511</v>
      </c>
      <c r="I84" s="289">
        <f t="shared" si="33"/>
        <v>-24480.89363874268</v>
      </c>
      <c r="J84" s="289">
        <f t="shared" si="33"/>
        <v>-21471.084947398729</v>
      </c>
      <c r="K84" s="289">
        <f t="shared" si="33"/>
        <v>30946.710369724071</v>
      </c>
      <c r="L84" s="289">
        <f t="shared" si="33"/>
        <v>81693.295347393374</v>
      </c>
      <c r="M84" s="289">
        <f t="shared" si="33"/>
        <v>131444.84924706916</v>
      </c>
      <c r="N84" s="289">
        <f t="shared" si="33"/>
        <v>180136.62193681169</v>
      </c>
      <c r="O84" s="289">
        <f t="shared" si="33"/>
        <v>227267.35396590823</v>
      </c>
      <c r="P84" s="289">
        <f t="shared" si="33"/>
        <v>270886.99960903323</v>
      </c>
      <c r="Q84" s="289">
        <f t="shared" si="33"/>
        <v>314229.52552503016</v>
      </c>
      <c r="R84" s="289">
        <f t="shared" si="33"/>
        <v>356722.19799169386</v>
      </c>
      <c r="S84" s="289">
        <f t="shared" si="33"/>
        <v>398381.68080214842</v>
      </c>
      <c r="T84" s="289">
        <f t="shared" si="33"/>
        <v>398381.68080214842</v>
      </c>
      <c r="U84" s="289">
        <f t="shared" si="33"/>
        <v>398381.68080214842</v>
      </c>
      <c r="V84" s="289">
        <f t="shared" si="33"/>
        <v>398381.68080214842</v>
      </c>
      <c r="W84" s="265"/>
      <c r="X84" s="265"/>
      <c r="Y84" s="265"/>
    </row>
    <row r="85" spans="1:26" s="188" customFormat="1" x14ac:dyDescent="0.25">
      <c r="A85" s="188" t="s">
        <v>351</v>
      </c>
      <c r="B85" s="47"/>
      <c r="C85" s="47"/>
      <c r="D85" s="47"/>
      <c r="E85" s="47"/>
      <c r="F85" s="198"/>
      <c r="I85" s="198"/>
      <c r="N85" s="198"/>
    </row>
    <row r="86" spans="1:26" x14ac:dyDescent="0.25">
      <c r="A86" t="str">
        <f>A64</f>
        <v>Селекционера</v>
      </c>
      <c r="B86" s="64">
        <f>IF(AND(B81&lt;0,C81&gt;0),B$2+(-B81/(-B81+C81)),0)</f>
        <v>0</v>
      </c>
      <c r="C86" s="64">
        <f t="shared" ref="C86:S89" si="36">IF(AND(C81&lt;0,D81&gt;0),C$2+(-C81/(-C81+D81)),0)</f>
        <v>0</v>
      </c>
      <c r="D86" s="64">
        <f t="shared" si="36"/>
        <v>0</v>
      </c>
      <c r="E86" s="64">
        <f t="shared" si="36"/>
        <v>0</v>
      </c>
      <c r="F86" s="64">
        <f t="shared" si="36"/>
        <v>0</v>
      </c>
      <c r="G86" s="64">
        <f t="shared" si="36"/>
        <v>0</v>
      </c>
      <c r="H86" s="64">
        <f t="shared" si="36"/>
        <v>0</v>
      </c>
      <c r="I86" s="64">
        <f t="shared" si="36"/>
        <v>0</v>
      </c>
      <c r="J86" s="64">
        <f t="shared" si="36"/>
        <v>0</v>
      </c>
      <c r="K86" s="64">
        <f t="shared" si="36"/>
        <v>0</v>
      </c>
      <c r="L86" s="64">
        <f t="shared" si="36"/>
        <v>0</v>
      </c>
      <c r="M86" s="64">
        <f t="shared" si="36"/>
        <v>0</v>
      </c>
      <c r="N86" s="64">
        <f t="shared" si="36"/>
        <v>0</v>
      </c>
      <c r="O86" s="64">
        <f t="shared" si="36"/>
        <v>0</v>
      </c>
      <c r="P86" s="64">
        <f t="shared" si="36"/>
        <v>0</v>
      </c>
      <c r="Q86" s="64">
        <f t="shared" si="36"/>
        <v>0</v>
      </c>
      <c r="R86" s="64">
        <f t="shared" si="36"/>
        <v>0</v>
      </c>
      <c r="S86" s="64">
        <f t="shared" si="36"/>
        <v>0</v>
      </c>
      <c r="T86" s="64">
        <f t="shared" ref="T86:V89" si="37">IF(AND(T81&lt;0,V81&gt;0),T$2+(-T81/(-T81+V81)),0)</f>
        <v>0</v>
      </c>
      <c r="U86" s="64">
        <f t="shared" si="37"/>
        <v>0</v>
      </c>
      <c r="V86" s="64">
        <f t="shared" si="37"/>
        <v>0</v>
      </c>
      <c r="W86" s="279" t="s">
        <v>346</v>
      </c>
      <c r="X86" s="280">
        <f>MAX(B86:V86)</f>
        <v>0</v>
      </c>
      <c r="Y86" s="588" t="s">
        <v>370</v>
      </c>
      <c r="Z86" s="588"/>
    </row>
    <row r="87" spans="1:26" x14ac:dyDescent="0.25">
      <c r="A87" t="str">
        <f>A65</f>
        <v>Товарное производство</v>
      </c>
      <c r="B87" s="64">
        <f>IF(AND(B82&lt;0,C82&gt;0),B$2+(-B82/(-B82+C82)),0)</f>
        <v>0</v>
      </c>
      <c r="C87" s="64">
        <f t="shared" ref="C87:Q87" si="38">IF(AND(C82&lt;0,D82&gt;0),C$2+(-C82/(-C82+D82)),0)</f>
        <v>0</v>
      </c>
      <c r="D87" s="64">
        <f t="shared" si="38"/>
        <v>0</v>
      </c>
      <c r="E87" s="64">
        <f t="shared" si="38"/>
        <v>0</v>
      </c>
      <c r="F87" s="64">
        <f t="shared" si="38"/>
        <v>0</v>
      </c>
      <c r="G87" s="64">
        <f t="shared" si="38"/>
        <v>0</v>
      </c>
      <c r="H87" s="64">
        <f t="shared" si="38"/>
        <v>0</v>
      </c>
      <c r="I87" s="64">
        <f t="shared" si="38"/>
        <v>0</v>
      </c>
      <c r="J87" s="64">
        <f t="shared" si="38"/>
        <v>0</v>
      </c>
      <c r="K87" s="64">
        <f t="shared" si="38"/>
        <v>0</v>
      </c>
      <c r="L87" s="64">
        <f t="shared" si="38"/>
        <v>0</v>
      </c>
      <c r="M87" s="64">
        <f t="shared" si="38"/>
        <v>0</v>
      </c>
      <c r="N87" s="64">
        <f t="shared" si="38"/>
        <v>0</v>
      </c>
      <c r="O87" s="64">
        <f t="shared" si="38"/>
        <v>0</v>
      </c>
      <c r="P87" s="64">
        <f t="shared" si="38"/>
        <v>0</v>
      </c>
      <c r="Q87" s="64">
        <f t="shared" si="38"/>
        <v>0</v>
      </c>
      <c r="R87" s="64">
        <f t="shared" si="36"/>
        <v>0</v>
      </c>
      <c r="S87" s="64">
        <f t="shared" si="36"/>
        <v>0</v>
      </c>
      <c r="T87" s="64">
        <f t="shared" si="37"/>
        <v>0</v>
      </c>
      <c r="U87" s="64">
        <f t="shared" si="37"/>
        <v>0</v>
      </c>
      <c r="V87" s="64">
        <f t="shared" si="37"/>
        <v>0</v>
      </c>
      <c r="W87" s="279" t="s">
        <v>346</v>
      </c>
      <c r="X87" s="280">
        <f>MAX(B87:V87)</f>
        <v>0</v>
      </c>
      <c r="Y87" s="588"/>
      <c r="Z87" s="588"/>
    </row>
    <row r="88" spans="1:26" x14ac:dyDescent="0.25">
      <c r="A88" t="str">
        <f>A66</f>
        <v>Семеноводство</v>
      </c>
      <c r="B88" s="64">
        <f>IF(AND(B83&lt;0,C83&gt;0),B$2+(-B83/(-B83+C83)),0)</f>
        <v>0</v>
      </c>
      <c r="C88" s="64">
        <f t="shared" si="36"/>
        <v>0</v>
      </c>
      <c r="D88" s="64">
        <f t="shared" si="36"/>
        <v>0</v>
      </c>
      <c r="E88" s="64">
        <f t="shared" si="36"/>
        <v>0</v>
      </c>
      <c r="F88" s="64">
        <f t="shared" si="36"/>
        <v>0</v>
      </c>
      <c r="G88" s="64">
        <f t="shared" si="36"/>
        <v>0</v>
      </c>
      <c r="H88" s="64">
        <f t="shared" si="36"/>
        <v>0</v>
      </c>
      <c r="I88" s="64">
        <f t="shared" si="36"/>
        <v>8.6580645161290324</v>
      </c>
      <c r="J88" s="64">
        <f t="shared" si="36"/>
        <v>0</v>
      </c>
      <c r="K88" s="64">
        <f t="shared" si="36"/>
        <v>0</v>
      </c>
      <c r="L88" s="64">
        <f t="shared" si="36"/>
        <v>11.29519984516129</v>
      </c>
      <c r="M88" s="64">
        <f t="shared" si="36"/>
        <v>0</v>
      </c>
      <c r="N88" s="64">
        <f t="shared" si="36"/>
        <v>0</v>
      </c>
      <c r="O88" s="64">
        <f t="shared" si="36"/>
        <v>0</v>
      </c>
      <c r="P88" s="64">
        <f t="shared" si="36"/>
        <v>0</v>
      </c>
      <c r="Q88" s="64">
        <f t="shared" si="36"/>
        <v>0</v>
      </c>
      <c r="R88" s="64">
        <f t="shared" si="36"/>
        <v>0</v>
      </c>
      <c r="S88" s="64">
        <f t="shared" si="36"/>
        <v>0</v>
      </c>
      <c r="T88" s="64">
        <f t="shared" si="37"/>
        <v>0</v>
      </c>
      <c r="U88" s="64">
        <f t="shared" si="37"/>
        <v>0</v>
      </c>
      <c r="V88" s="64">
        <f t="shared" si="37"/>
        <v>0</v>
      </c>
      <c r="W88" s="279" t="s">
        <v>346</v>
      </c>
      <c r="X88" s="290">
        <f>MAX(B88:V88)</f>
        <v>11.29519984516129</v>
      </c>
      <c r="Y88" s="588"/>
      <c r="Z88" s="588"/>
    </row>
    <row r="89" spans="1:26" x14ac:dyDescent="0.25">
      <c r="A89" t="s">
        <v>327</v>
      </c>
      <c r="B89" s="64">
        <f>IF(AND(B84&lt;0,C84&gt;0),B$2+(-B84/(-B84+C84)),0)</f>
        <v>0</v>
      </c>
      <c r="C89" s="64">
        <f t="shared" si="36"/>
        <v>0</v>
      </c>
      <c r="D89" s="64">
        <f t="shared" si="36"/>
        <v>0</v>
      </c>
      <c r="E89" s="64">
        <f t="shared" si="36"/>
        <v>0</v>
      </c>
      <c r="F89" s="64">
        <f t="shared" si="36"/>
        <v>0</v>
      </c>
      <c r="G89" s="64">
        <f t="shared" si="36"/>
        <v>0</v>
      </c>
      <c r="H89" s="64">
        <f t="shared" si="36"/>
        <v>0</v>
      </c>
      <c r="I89" s="64">
        <f t="shared" si="36"/>
        <v>0</v>
      </c>
      <c r="J89" s="64">
        <f t="shared" si="36"/>
        <v>9.4096144223064062</v>
      </c>
      <c r="K89" s="64">
        <f t="shared" si="36"/>
        <v>0</v>
      </c>
      <c r="L89" s="64">
        <f t="shared" si="36"/>
        <v>0</v>
      </c>
      <c r="M89" s="64">
        <f t="shared" si="36"/>
        <v>0</v>
      </c>
      <c r="N89" s="64">
        <f t="shared" si="36"/>
        <v>0</v>
      </c>
      <c r="O89" s="64">
        <f t="shared" si="36"/>
        <v>0</v>
      </c>
      <c r="P89" s="64">
        <f t="shared" si="36"/>
        <v>0</v>
      </c>
      <c r="Q89" s="64">
        <f t="shared" si="36"/>
        <v>0</v>
      </c>
      <c r="R89" s="64">
        <f t="shared" si="36"/>
        <v>0</v>
      </c>
      <c r="S89" s="64">
        <f t="shared" si="36"/>
        <v>0</v>
      </c>
      <c r="T89" s="64">
        <f t="shared" si="37"/>
        <v>0</v>
      </c>
      <c r="U89" s="64">
        <f t="shared" si="37"/>
        <v>0</v>
      </c>
      <c r="V89" s="64">
        <f t="shared" si="37"/>
        <v>0</v>
      </c>
      <c r="W89" s="279" t="s">
        <v>346</v>
      </c>
      <c r="X89" s="280">
        <f>MAX(B89:V89)</f>
        <v>9.4096144223064062</v>
      </c>
      <c r="Y89" s="588"/>
      <c r="Z89" s="588"/>
    </row>
    <row r="90" spans="1:26" s="47" customFormat="1" ht="15.75" thickBot="1" x14ac:dyDescent="0.3">
      <c r="A90" s="47" t="s">
        <v>352</v>
      </c>
      <c r="F90" s="145"/>
      <c r="I90" s="145"/>
      <c r="N90" s="145"/>
    </row>
    <row r="91" spans="1:26" s="533" customFormat="1" ht="64.900000000000006" customHeight="1" thickBot="1" x14ac:dyDescent="0.3">
      <c r="A91" s="533" t="s">
        <v>320</v>
      </c>
      <c r="B91" s="592" t="s">
        <v>501</v>
      </c>
      <c r="C91" s="592"/>
      <c r="D91" s="592"/>
      <c r="E91" s="592"/>
      <c r="F91" s="592"/>
      <c r="G91" s="592"/>
      <c r="H91" s="592"/>
      <c r="I91" s="592"/>
      <c r="J91" s="592"/>
      <c r="K91" s="592"/>
      <c r="L91" s="592"/>
      <c r="M91" s="592"/>
      <c r="N91" s="593" t="s">
        <v>502</v>
      </c>
      <c r="O91" s="593"/>
      <c r="P91" s="534" t="s">
        <v>355</v>
      </c>
      <c r="Q91" s="534"/>
      <c r="R91" s="594" t="s">
        <v>356</v>
      </c>
      <c r="S91" s="594"/>
      <c r="T91" s="581" t="s">
        <v>283</v>
      </c>
      <c r="U91" s="582"/>
      <c r="V91" s="582"/>
      <c r="W91" s="535"/>
      <c r="X91" s="535"/>
      <c r="Y91" s="535"/>
    </row>
    <row r="92" spans="1:26" ht="15.75" thickBot="1" x14ac:dyDescent="0.3">
      <c r="A92" t="s">
        <v>336</v>
      </c>
      <c r="B92" s="583" t="s">
        <v>363</v>
      </c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5"/>
    </row>
    <row r="93" spans="1:26" x14ac:dyDescent="0.25">
      <c r="A93" t="s">
        <v>322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T93" s="607" t="s">
        <v>365</v>
      </c>
      <c r="U93" s="607"/>
      <c r="V93" s="607"/>
    </row>
    <row r="94" spans="1:26" x14ac:dyDescent="0.25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</row>
    <row r="95" spans="1:26" ht="14.45" customHeight="1" thickBot="1" x14ac:dyDescent="0.3">
      <c r="A95" s="47" t="s">
        <v>357</v>
      </c>
      <c r="B95" s="299"/>
      <c r="C95" s="299"/>
      <c r="D95" s="299"/>
      <c r="E95" s="299"/>
      <c r="F95" s="299"/>
      <c r="G95" s="299"/>
      <c r="H95" s="299"/>
      <c r="I95" s="299"/>
      <c r="J95" s="299"/>
      <c r="K95" s="94"/>
      <c r="L95" s="297"/>
      <c r="M95" s="297"/>
      <c r="N95" s="297"/>
      <c r="O95" s="297"/>
      <c r="P95" s="298"/>
      <c r="Q95" s="298"/>
      <c r="R95" s="298"/>
      <c r="S95" s="298"/>
      <c r="T95" s="298"/>
      <c r="U95" s="298"/>
      <c r="V95" s="298"/>
    </row>
    <row r="96" spans="1:26" s="292" customFormat="1" ht="120.75" thickBot="1" x14ac:dyDescent="0.3">
      <c r="A96" s="292" t="s">
        <v>320</v>
      </c>
      <c r="B96" s="293" t="s">
        <v>358</v>
      </c>
      <c r="C96" s="294" t="s">
        <v>504</v>
      </c>
      <c r="D96" s="578" t="s">
        <v>359</v>
      </c>
      <c r="E96" s="578"/>
      <c r="F96" s="296" t="s">
        <v>503</v>
      </c>
      <c r="G96" s="579" t="s">
        <v>361</v>
      </c>
      <c r="H96" s="579"/>
      <c r="I96" s="580" t="s">
        <v>362</v>
      </c>
      <c r="J96" s="580"/>
      <c r="K96" s="581" t="s">
        <v>283</v>
      </c>
      <c r="L96" s="582"/>
      <c r="M96" s="582"/>
      <c r="N96" s="582"/>
      <c r="O96" s="582"/>
      <c r="P96" s="582"/>
      <c r="Q96" s="582"/>
      <c r="R96" s="582"/>
      <c r="S96" s="582"/>
      <c r="T96" s="582"/>
      <c r="U96" s="582"/>
      <c r="V96" s="582"/>
      <c r="W96" s="295"/>
      <c r="X96" s="295"/>
      <c r="Y96" s="295"/>
    </row>
    <row r="97" spans="1:25" ht="15.75" thickBot="1" x14ac:dyDescent="0.3">
      <c r="A97" t="str">
        <f>A92</f>
        <v>Товарное овощеводство</v>
      </c>
      <c r="B97" s="583" t="s">
        <v>363</v>
      </c>
      <c r="C97" s="584"/>
      <c r="D97" s="584"/>
      <c r="E97" s="584"/>
      <c r="F97" s="584"/>
      <c r="G97" s="584"/>
      <c r="H97" s="584"/>
      <c r="I97" s="584"/>
      <c r="J97" s="585"/>
      <c r="K97" s="586" t="s">
        <v>364</v>
      </c>
      <c r="L97" s="587"/>
      <c r="M97" s="587"/>
      <c r="N97" s="587"/>
      <c r="O97" s="587"/>
      <c r="P97" s="587"/>
      <c r="Q97" s="587"/>
      <c r="R97" s="587"/>
      <c r="S97" s="587"/>
      <c r="T97" s="587"/>
      <c r="U97" s="587"/>
      <c r="V97" s="587"/>
    </row>
    <row r="98" spans="1:25" x14ac:dyDescent="0.25">
      <c r="A98" t="s">
        <v>322</v>
      </c>
      <c r="K98" s="577" t="s">
        <v>365</v>
      </c>
      <c r="L98" s="577"/>
      <c r="M98" s="577"/>
      <c r="N98" s="577"/>
      <c r="O98" s="577"/>
      <c r="P98" s="577"/>
      <c r="Q98" s="577"/>
      <c r="R98" s="577"/>
      <c r="S98" s="577"/>
      <c r="T98" s="577"/>
      <c r="U98" s="577"/>
      <c r="V98" s="577"/>
    </row>
    <row r="99" spans="1:25" s="94" customFormat="1" x14ac:dyDescent="0.25">
      <c r="W99" s="118"/>
      <c r="X99" s="118"/>
      <c r="Y99" s="118"/>
    </row>
    <row r="100" spans="1:25" s="94" customFormat="1" x14ac:dyDescent="0.25">
      <c r="A100" s="301" t="s">
        <v>369</v>
      </c>
      <c r="B100" s="302">
        <f>B53</f>
        <v>-45689.551510408914</v>
      </c>
      <c r="C100" s="302">
        <f t="shared" ref="C100:V100" si="39">C53</f>
        <v>-57386.0766970736</v>
      </c>
      <c r="D100" s="302">
        <f t="shared" si="39"/>
        <v>-74127.489863012597</v>
      </c>
      <c r="E100" s="302">
        <f t="shared" si="39"/>
        <v>-90868.903028951594</v>
      </c>
      <c r="F100" s="302">
        <f t="shared" si="39"/>
        <v>-91082.120936000167</v>
      </c>
      <c r="G100" s="302">
        <f t="shared" si="39"/>
        <v>-91106.107950543126</v>
      </c>
      <c r="H100" s="302">
        <f t="shared" si="39"/>
        <v>-91106.107950543126</v>
      </c>
      <c r="I100" s="302">
        <f t="shared" si="39"/>
        <v>-91106.107950543126</v>
      </c>
      <c r="J100" s="302">
        <f t="shared" si="39"/>
        <v>-98873.331707312638</v>
      </c>
      <c r="K100" s="302">
        <f t="shared" si="39"/>
        <v>-90373.331707312638</v>
      </c>
      <c r="L100" s="302">
        <f t="shared" si="39"/>
        <v>-81873.331707312638</v>
      </c>
      <c r="M100" s="302">
        <f t="shared" si="39"/>
        <v>-81140.55546408215</v>
      </c>
      <c r="N100" s="302">
        <f t="shared" si="39"/>
        <v>-72640.55546408215</v>
      </c>
      <c r="O100" s="302">
        <f t="shared" si="39"/>
        <v>-64140.55546408215</v>
      </c>
      <c r="P100" s="302">
        <f t="shared" si="39"/>
        <v>-63407.779220851662</v>
      </c>
      <c r="Q100" s="302">
        <f t="shared" si="39"/>
        <v>-54907.779220851662</v>
      </c>
      <c r="R100" s="302">
        <f t="shared" si="39"/>
        <v>-46407.779220851662</v>
      </c>
      <c r="S100" s="302">
        <f t="shared" si="39"/>
        <v>-45675.002977621174</v>
      </c>
      <c r="T100" s="302">
        <f t="shared" si="39"/>
        <v>-37175.002977621174</v>
      </c>
      <c r="U100" s="302"/>
      <c r="V100" s="302">
        <f t="shared" si="39"/>
        <v>-20175.002977621174</v>
      </c>
      <c r="W100" s="118"/>
      <c r="X100" s="118"/>
      <c r="Y100" s="118"/>
    </row>
    <row r="101" spans="1:25" s="94" customFormat="1" x14ac:dyDescent="0.25">
      <c r="A101" s="300" t="s">
        <v>368</v>
      </c>
      <c r="B101" s="303">
        <f>B24</f>
        <v>-4397</v>
      </c>
      <c r="C101" s="303">
        <f t="shared" ref="C101:V101" si="40">C24</f>
        <v>-8794</v>
      </c>
      <c r="D101" s="303">
        <f t="shared" si="40"/>
        <v>-13191</v>
      </c>
      <c r="E101" s="303">
        <f t="shared" si="40"/>
        <v>-17588</v>
      </c>
      <c r="F101" s="303">
        <f t="shared" si="40"/>
        <v>-21985</v>
      </c>
      <c r="G101" s="303">
        <f t="shared" si="40"/>
        <v>-26382</v>
      </c>
      <c r="H101" s="303">
        <f t="shared" si="40"/>
        <v>-30779</v>
      </c>
      <c r="I101" s="303">
        <f t="shared" si="40"/>
        <v>-35176</v>
      </c>
      <c r="J101" s="303">
        <f t="shared" si="40"/>
        <v>-39573</v>
      </c>
      <c r="K101" s="303">
        <f t="shared" si="40"/>
        <v>-43970</v>
      </c>
      <c r="L101" s="303">
        <f t="shared" si="40"/>
        <v>-48367</v>
      </c>
      <c r="M101" s="303">
        <f t="shared" si="40"/>
        <v>-52764</v>
      </c>
      <c r="N101" s="303">
        <f t="shared" si="40"/>
        <v>-56252</v>
      </c>
      <c r="O101" s="303">
        <f t="shared" si="40"/>
        <v>-59740</v>
      </c>
      <c r="P101" s="303">
        <f t="shared" si="40"/>
        <v>-59746.3</v>
      </c>
      <c r="Q101" s="303">
        <f t="shared" si="40"/>
        <v>-59746.3</v>
      </c>
      <c r="R101" s="303">
        <f t="shared" si="40"/>
        <v>-59746.3</v>
      </c>
      <c r="S101" s="303">
        <f t="shared" si="40"/>
        <v>-61786.3</v>
      </c>
      <c r="T101" s="303">
        <f t="shared" si="40"/>
        <v>-53286.3</v>
      </c>
      <c r="U101" s="303"/>
      <c r="V101" s="303">
        <f t="shared" si="40"/>
        <v>-36286.300000000003</v>
      </c>
      <c r="W101" s="118"/>
      <c r="X101" s="118"/>
      <c r="Y101" s="118"/>
    </row>
    <row r="102" spans="1:25" s="94" customFormat="1" x14ac:dyDescent="0.25">
      <c r="W102" s="118"/>
      <c r="X102" s="118"/>
      <c r="Y102" s="118"/>
    </row>
    <row r="103" spans="1:25" s="94" customFormat="1" x14ac:dyDescent="0.25">
      <c r="A103" s="222" t="s">
        <v>367</v>
      </c>
      <c r="B103" s="118">
        <f>8500+8500+(8500-2000)</f>
        <v>23500</v>
      </c>
      <c r="W103" s="118"/>
      <c r="X103" s="118"/>
      <c r="Y103" s="118"/>
    </row>
    <row r="104" spans="1:25" s="94" customFormat="1" x14ac:dyDescent="0.25">
      <c r="A104" s="405" t="s">
        <v>406</v>
      </c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08"/>
      <c r="X104" s="408"/>
    </row>
    <row r="105" spans="1:25" s="94" customFormat="1" x14ac:dyDescent="0.25">
      <c r="A105" s="405" t="s">
        <v>407</v>
      </c>
      <c r="B105" s="408">
        <v>0</v>
      </c>
      <c r="C105" s="408">
        <f>B105+1</f>
        <v>1</v>
      </c>
      <c r="D105" s="408">
        <f t="shared" ref="D105:W105" si="41">C105+1</f>
        <v>2</v>
      </c>
      <c r="E105" s="408">
        <f t="shared" si="41"/>
        <v>3</v>
      </c>
      <c r="F105" s="408">
        <f t="shared" si="41"/>
        <v>4</v>
      </c>
      <c r="G105" s="408">
        <f t="shared" si="41"/>
        <v>5</v>
      </c>
      <c r="H105" s="408">
        <f t="shared" si="41"/>
        <v>6</v>
      </c>
      <c r="I105" s="408">
        <f t="shared" si="41"/>
        <v>7</v>
      </c>
      <c r="J105" s="408">
        <f t="shared" si="41"/>
        <v>8</v>
      </c>
      <c r="K105" s="408">
        <f t="shared" si="41"/>
        <v>9</v>
      </c>
      <c r="L105" s="408">
        <f t="shared" si="41"/>
        <v>10</v>
      </c>
      <c r="M105" s="408">
        <f t="shared" si="41"/>
        <v>11</v>
      </c>
      <c r="N105" s="408">
        <f t="shared" si="41"/>
        <v>12</v>
      </c>
      <c r="O105" s="408">
        <f t="shared" si="41"/>
        <v>13</v>
      </c>
      <c r="P105" s="408">
        <f t="shared" si="41"/>
        <v>14</v>
      </c>
      <c r="Q105" s="408">
        <f t="shared" si="41"/>
        <v>15</v>
      </c>
      <c r="R105" s="408">
        <f t="shared" si="41"/>
        <v>16</v>
      </c>
      <c r="S105" s="408">
        <f t="shared" si="41"/>
        <v>17</v>
      </c>
      <c r="T105" s="408">
        <f t="shared" si="41"/>
        <v>18</v>
      </c>
      <c r="U105" s="408">
        <f t="shared" si="41"/>
        <v>19</v>
      </c>
      <c r="V105" s="408">
        <f t="shared" si="41"/>
        <v>20</v>
      </c>
      <c r="W105" s="408">
        <f t="shared" si="41"/>
        <v>21</v>
      </c>
      <c r="X105" s="408"/>
    </row>
    <row r="106" spans="1:25" s="94" customFormat="1" x14ac:dyDescent="0.25">
      <c r="A106" s="405"/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08"/>
      <c r="X106" s="408"/>
    </row>
    <row r="107" spans="1:25" s="410" customFormat="1" ht="12" x14ac:dyDescent="0.2">
      <c r="A107" s="410" t="s">
        <v>408</v>
      </c>
      <c r="B107" s="412">
        <f>B35</f>
        <v>980689.55151040887</v>
      </c>
      <c r="C107" s="412">
        <f t="shared" ref="C107:V107" si="42">C35</f>
        <v>946696.52518666466</v>
      </c>
      <c r="D107" s="412">
        <f t="shared" si="42"/>
        <v>951741.41316593904</v>
      </c>
      <c r="E107" s="412">
        <f t="shared" si="42"/>
        <v>951741.41316593904</v>
      </c>
      <c r="F107" s="412">
        <f t="shared" si="42"/>
        <v>935213.21790704853</v>
      </c>
      <c r="G107" s="412">
        <f t="shared" si="42"/>
        <v>935023.98701454292</v>
      </c>
      <c r="H107" s="412">
        <f t="shared" si="42"/>
        <v>935000</v>
      </c>
      <c r="I107" s="412">
        <f t="shared" si="42"/>
        <v>935800</v>
      </c>
      <c r="J107" s="412">
        <f t="shared" si="42"/>
        <v>943567.22375676956</v>
      </c>
      <c r="K107" s="412">
        <f t="shared" si="42"/>
        <v>884000</v>
      </c>
      <c r="L107" s="412">
        <f t="shared" si="42"/>
        <v>884800</v>
      </c>
      <c r="M107" s="412">
        <f t="shared" si="42"/>
        <v>892567.22375676956</v>
      </c>
      <c r="N107" s="412">
        <f t="shared" si="42"/>
        <v>884000</v>
      </c>
      <c r="O107" s="412">
        <f t="shared" si="42"/>
        <v>884800</v>
      </c>
      <c r="P107" s="412">
        <f t="shared" si="42"/>
        <v>892567.22375676956</v>
      </c>
      <c r="Q107" s="412">
        <f t="shared" si="42"/>
        <v>884000</v>
      </c>
      <c r="R107" s="412">
        <f t="shared" si="42"/>
        <v>884800</v>
      </c>
      <c r="S107" s="412">
        <f t="shared" si="42"/>
        <v>892567.22375676956</v>
      </c>
      <c r="T107" s="412">
        <f t="shared" si="42"/>
        <v>884000</v>
      </c>
      <c r="U107" s="412">
        <f t="shared" si="42"/>
        <v>884000</v>
      </c>
      <c r="V107" s="412">
        <f t="shared" si="42"/>
        <v>884000</v>
      </c>
      <c r="W107" s="414" t="s">
        <v>82</v>
      </c>
      <c r="X107" s="413">
        <f>SUM(B107:W107)</f>
        <v>19151575.002977621</v>
      </c>
    </row>
    <row r="108" spans="1:25" s="410" customFormat="1" ht="12" x14ac:dyDescent="0.2">
      <c r="A108" s="410" t="s">
        <v>409</v>
      </c>
      <c r="C108" s="412">
        <f>B40</f>
        <v>2805000</v>
      </c>
      <c r="D108" s="412">
        <f t="shared" ref="D108:V108" si="43">C40</f>
        <v>2805000</v>
      </c>
      <c r="E108" s="412">
        <f t="shared" si="43"/>
        <v>2805000</v>
      </c>
      <c r="F108" s="412">
        <f t="shared" si="43"/>
        <v>2805000</v>
      </c>
      <c r="G108" s="412">
        <f t="shared" si="43"/>
        <v>2805000</v>
      </c>
      <c r="H108" s="412">
        <f t="shared" si="43"/>
        <v>2805000</v>
      </c>
      <c r="I108" s="412">
        <f t="shared" si="43"/>
        <v>2805000</v>
      </c>
      <c r="J108" s="412">
        <f t="shared" si="43"/>
        <v>2805000</v>
      </c>
      <c r="K108" s="412">
        <f t="shared" si="43"/>
        <v>2807040</v>
      </c>
      <c r="L108" s="412">
        <f t="shared" si="43"/>
        <v>2813500</v>
      </c>
      <c r="M108" s="412">
        <f t="shared" si="43"/>
        <v>2813500</v>
      </c>
      <c r="N108" s="412">
        <f t="shared" si="43"/>
        <v>2815540</v>
      </c>
      <c r="O108" s="412">
        <f t="shared" si="43"/>
        <v>2813500</v>
      </c>
      <c r="P108" s="412">
        <f t="shared" si="43"/>
        <v>2813500</v>
      </c>
      <c r="Q108" s="412">
        <f t="shared" si="43"/>
        <v>2815540</v>
      </c>
      <c r="R108" s="412">
        <f t="shared" si="43"/>
        <v>2813500</v>
      </c>
      <c r="S108" s="412">
        <f t="shared" si="43"/>
        <v>2813500</v>
      </c>
      <c r="T108" s="412">
        <f t="shared" si="43"/>
        <v>2815540</v>
      </c>
      <c r="U108" s="412">
        <f t="shared" si="43"/>
        <v>2813500</v>
      </c>
      <c r="V108" s="412">
        <f t="shared" si="43"/>
        <v>2813500</v>
      </c>
      <c r="W108" s="413">
        <f>V89</f>
        <v>0</v>
      </c>
      <c r="X108" s="413">
        <f>SUM(B108:W108)</f>
        <v>56201660</v>
      </c>
    </row>
    <row r="109" spans="1:25" s="411" customFormat="1" ht="11.25" x14ac:dyDescent="0.2">
      <c r="A109" s="411" t="s">
        <v>410</v>
      </c>
      <c r="B109" s="412">
        <f>B108-B107</f>
        <v>-980689.55151040887</v>
      </c>
      <c r="C109" s="412">
        <f t="shared" ref="C109:V109" si="44">C108-C107</f>
        <v>1858303.4748133353</v>
      </c>
      <c r="D109" s="412">
        <f t="shared" si="44"/>
        <v>1853258.586834061</v>
      </c>
      <c r="E109" s="412">
        <f t="shared" si="44"/>
        <v>1853258.586834061</v>
      </c>
      <c r="F109" s="412">
        <f t="shared" si="44"/>
        <v>1869786.7820929515</v>
      </c>
      <c r="G109" s="412">
        <f t="shared" si="44"/>
        <v>1869976.0129854572</v>
      </c>
      <c r="H109" s="412">
        <f t="shared" si="44"/>
        <v>1870000</v>
      </c>
      <c r="I109" s="412">
        <f t="shared" si="44"/>
        <v>1869200</v>
      </c>
      <c r="J109" s="412">
        <f t="shared" si="44"/>
        <v>1861432.7762432303</v>
      </c>
      <c r="K109" s="412">
        <f t="shared" si="44"/>
        <v>1923040</v>
      </c>
      <c r="L109" s="412">
        <f t="shared" si="44"/>
        <v>1928700</v>
      </c>
      <c r="M109" s="412">
        <f t="shared" si="44"/>
        <v>1920932.7762432303</v>
      </c>
      <c r="N109" s="412">
        <f t="shared" si="44"/>
        <v>1931540</v>
      </c>
      <c r="O109" s="412">
        <f t="shared" si="44"/>
        <v>1928700</v>
      </c>
      <c r="P109" s="412">
        <f t="shared" si="44"/>
        <v>1920932.7762432303</v>
      </c>
      <c r="Q109" s="412">
        <f t="shared" si="44"/>
        <v>1931540</v>
      </c>
      <c r="R109" s="412">
        <f t="shared" si="44"/>
        <v>1928700</v>
      </c>
      <c r="S109" s="412">
        <f t="shared" si="44"/>
        <v>1920932.7762432303</v>
      </c>
      <c r="T109" s="412">
        <f t="shared" si="44"/>
        <v>1931540</v>
      </c>
      <c r="U109" s="412">
        <f t="shared" si="44"/>
        <v>1929500</v>
      </c>
      <c r="V109" s="412">
        <f t="shared" si="44"/>
        <v>1929500</v>
      </c>
      <c r="W109" s="412">
        <v>0</v>
      </c>
      <c r="X109" s="412">
        <f>SUM(B109:W109)</f>
        <v>37050084.997022383</v>
      </c>
    </row>
    <row r="110" spans="1:25" s="417" customFormat="1" ht="9" x14ac:dyDescent="0.15">
      <c r="A110" s="417" t="s">
        <v>41</v>
      </c>
      <c r="B110" s="416">
        <f>B109</f>
        <v>-980689.55151040887</v>
      </c>
      <c r="C110" s="416">
        <f>B110+C109</f>
        <v>877613.92330292647</v>
      </c>
      <c r="D110" s="416">
        <f t="shared" ref="D110:W110" si="45">C110+D109</f>
        <v>2730872.5101369875</v>
      </c>
      <c r="E110" s="416">
        <f t="shared" si="45"/>
        <v>4584131.096971048</v>
      </c>
      <c r="F110" s="416">
        <f t="shared" si="45"/>
        <v>6453917.8790639993</v>
      </c>
      <c r="G110" s="416">
        <f t="shared" si="45"/>
        <v>8323893.892049456</v>
      </c>
      <c r="H110" s="416">
        <f t="shared" si="45"/>
        <v>10193893.892049456</v>
      </c>
      <c r="I110" s="416">
        <f t="shared" si="45"/>
        <v>12063093.892049456</v>
      </c>
      <c r="J110" s="416">
        <f t="shared" si="45"/>
        <v>13924526.668292686</v>
      </c>
      <c r="K110" s="416">
        <f t="shared" si="45"/>
        <v>15847566.668292686</v>
      </c>
      <c r="L110" s="416">
        <f t="shared" si="45"/>
        <v>17776266.668292686</v>
      </c>
      <c r="M110" s="416">
        <f t="shared" si="45"/>
        <v>19697199.444535919</v>
      </c>
      <c r="N110" s="416">
        <f t="shared" si="45"/>
        <v>21628739.444535919</v>
      </c>
      <c r="O110" s="416">
        <f t="shared" si="45"/>
        <v>23557439.444535919</v>
      </c>
      <c r="P110" s="416">
        <f t="shared" si="45"/>
        <v>25478372.220779151</v>
      </c>
      <c r="Q110" s="416">
        <f t="shared" si="45"/>
        <v>27409912.220779151</v>
      </c>
      <c r="R110" s="416">
        <f t="shared" si="45"/>
        <v>29338612.220779151</v>
      </c>
      <c r="S110" s="416">
        <f t="shared" si="45"/>
        <v>31259544.997022383</v>
      </c>
      <c r="T110" s="416">
        <f t="shared" si="45"/>
        <v>33191084.997022383</v>
      </c>
      <c r="U110" s="416">
        <f t="shared" si="45"/>
        <v>35120584.997022383</v>
      </c>
      <c r="V110" s="416">
        <f t="shared" si="45"/>
        <v>37050084.997022383</v>
      </c>
      <c r="W110" s="416">
        <f t="shared" si="45"/>
        <v>37050084.997022383</v>
      </c>
    </row>
    <row r="111" spans="1:25" s="409" customFormat="1" ht="11.25" x14ac:dyDescent="0.2">
      <c r="B111" s="409">
        <f>IF($C$112=B110,B105,0)</f>
        <v>0</v>
      </c>
      <c r="C111" s="409">
        <f t="shared" ref="C111:V111" si="46">IF($C$112=C110,C105,0)</f>
        <v>0</v>
      </c>
      <c r="D111" s="409">
        <f t="shared" si="46"/>
        <v>0</v>
      </c>
      <c r="E111" s="409">
        <f t="shared" si="46"/>
        <v>0</v>
      </c>
      <c r="F111" s="409">
        <f t="shared" si="46"/>
        <v>0</v>
      </c>
      <c r="G111" s="409">
        <f t="shared" si="46"/>
        <v>0</v>
      </c>
      <c r="H111" s="409">
        <f t="shared" si="46"/>
        <v>0</v>
      </c>
      <c r="I111" s="409">
        <f t="shared" si="46"/>
        <v>0</v>
      </c>
      <c r="J111" s="409">
        <f t="shared" si="46"/>
        <v>0</v>
      </c>
      <c r="K111" s="409">
        <f t="shared" si="46"/>
        <v>0</v>
      </c>
      <c r="L111" s="409">
        <f t="shared" si="46"/>
        <v>0</v>
      </c>
      <c r="M111" s="409">
        <f t="shared" si="46"/>
        <v>0</v>
      </c>
      <c r="N111" s="409">
        <f t="shared" si="46"/>
        <v>0</v>
      </c>
      <c r="O111" s="409">
        <f t="shared" si="46"/>
        <v>0</v>
      </c>
      <c r="P111" s="409">
        <f t="shared" si="46"/>
        <v>0</v>
      </c>
      <c r="Q111" s="409">
        <f t="shared" si="46"/>
        <v>0</v>
      </c>
      <c r="R111" s="409">
        <f t="shared" si="46"/>
        <v>0</v>
      </c>
      <c r="S111" s="409">
        <f t="shared" si="46"/>
        <v>0</v>
      </c>
      <c r="T111" s="409">
        <f t="shared" si="46"/>
        <v>0</v>
      </c>
      <c r="U111" s="409">
        <f t="shared" si="46"/>
        <v>0</v>
      </c>
      <c r="V111" s="409">
        <f t="shared" si="46"/>
        <v>0</v>
      </c>
      <c r="W111" s="409">
        <f>IF($C$53=W110,W$4,0)</f>
        <v>0</v>
      </c>
    </row>
    <row r="112" spans="1:25" s="410" customFormat="1" ht="12" x14ac:dyDescent="0.2">
      <c r="A112" s="410" t="s">
        <v>411</v>
      </c>
      <c r="C112" s="416">
        <f>MIN(B110:W110)</f>
        <v>-980689.55151040887</v>
      </c>
      <c r="E112" s="410" t="s">
        <v>413</v>
      </c>
      <c r="G112" s="410">
        <f>MAX(B111:W111)</f>
        <v>0</v>
      </c>
      <c r="H112" s="410" t="s">
        <v>414</v>
      </c>
    </row>
    <row r="113" spans="1:25" s="410" customFormat="1" ht="12" x14ac:dyDescent="0.2">
      <c r="A113" s="410" t="s">
        <v>412</v>
      </c>
      <c r="C113" s="410">
        <f>-C112*1.2</f>
        <v>1176827.4618124906</v>
      </c>
      <c r="E113" s="410" t="s">
        <v>415</v>
      </c>
    </row>
    <row r="114" spans="1:25" s="94" customFormat="1" x14ac:dyDescent="0.25">
      <c r="W114" s="118"/>
      <c r="X114" s="118"/>
      <c r="Y114" s="118"/>
    </row>
    <row r="115" spans="1:25" s="94" customFormat="1" x14ac:dyDescent="0.25">
      <c r="W115" s="118"/>
      <c r="X115" s="118"/>
      <c r="Y115" s="118"/>
    </row>
    <row r="116" spans="1:25" s="94" customFormat="1" x14ac:dyDescent="0.25">
      <c r="W116" s="118"/>
      <c r="X116" s="118"/>
      <c r="Y116" s="118"/>
    </row>
    <row r="117" spans="1:25" s="94" customFormat="1" x14ac:dyDescent="0.25">
      <c r="W117" s="118"/>
      <c r="X117" s="118"/>
      <c r="Y117" s="118"/>
    </row>
    <row r="118" spans="1:25" s="94" customFormat="1" x14ac:dyDescent="0.25">
      <c r="W118" s="118"/>
      <c r="X118" s="118"/>
      <c r="Y118" s="118"/>
    </row>
    <row r="119" spans="1:25" s="94" customFormat="1" x14ac:dyDescent="0.25">
      <c r="W119" s="118"/>
      <c r="X119" s="118"/>
      <c r="Y119" s="118"/>
    </row>
    <row r="120" spans="1:25" s="94" customFormat="1" x14ac:dyDescent="0.25">
      <c r="W120" s="118"/>
      <c r="X120" s="118"/>
      <c r="Y120" s="118"/>
    </row>
    <row r="121" spans="1:25" s="94" customFormat="1" x14ac:dyDescent="0.25">
      <c r="W121" s="118"/>
      <c r="X121" s="118"/>
      <c r="Y121" s="118"/>
    </row>
    <row r="122" spans="1:25" s="94" customFormat="1" x14ac:dyDescent="0.25">
      <c r="W122" s="118"/>
      <c r="X122" s="118"/>
      <c r="Y122" s="118"/>
    </row>
    <row r="123" spans="1:25" s="94" customFormat="1" x14ac:dyDescent="0.25">
      <c r="W123" s="118"/>
      <c r="X123" s="118"/>
      <c r="Y123" s="118"/>
    </row>
    <row r="124" spans="1:25" s="94" customFormat="1" x14ac:dyDescent="0.25">
      <c r="W124" s="118"/>
      <c r="X124" s="118"/>
      <c r="Y124" s="118"/>
    </row>
    <row r="125" spans="1:25" s="94" customFormat="1" x14ac:dyDescent="0.25">
      <c r="W125" s="118"/>
      <c r="X125" s="118"/>
      <c r="Y125" s="118"/>
    </row>
    <row r="126" spans="1:25" s="94" customFormat="1" x14ac:dyDescent="0.25">
      <c r="W126" s="118"/>
      <c r="X126" s="118"/>
      <c r="Y126" s="118"/>
    </row>
    <row r="127" spans="1:25" s="94" customFormat="1" x14ac:dyDescent="0.25">
      <c r="W127" s="118"/>
      <c r="X127" s="118"/>
      <c r="Y127" s="118"/>
    </row>
    <row r="128" spans="1:25" s="94" customFormat="1" x14ac:dyDescent="0.25">
      <c r="W128" s="118"/>
      <c r="X128" s="118"/>
      <c r="Y128" s="118"/>
    </row>
    <row r="129" spans="23:25" s="94" customFormat="1" x14ac:dyDescent="0.25">
      <c r="W129" s="118"/>
      <c r="X129" s="118"/>
      <c r="Y129" s="118"/>
    </row>
  </sheetData>
  <mergeCells count="14">
    <mergeCell ref="K98:V98"/>
    <mergeCell ref="T93:V93"/>
    <mergeCell ref="D96:E96"/>
    <mergeCell ref="G96:H96"/>
    <mergeCell ref="I96:J96"/>
    <mergeCell ref="K96:V96"/>
    <mergeCell ref="B97:J97"/>
    <mergeCell ref="K97:V97"/>
    <mergeCell ref="B92:S92"/>
    <mergeCell ref="Y86:Z89"/>
    <mergeCell ref="B91:M91"/>
    <mergeCell ref="N91:O91"/>
    <mergeCell ref="R91:S91"/>
    <mergeCell ref="T91:V9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129"/>
  <sheetViews>
    <sheetView topLeftCell="A83" workbookViewId="0">
      <selection activeCell="C96" sqref="C96"/>
    </sheetView>
  </sheetViews>
  <sheetFormatPr defaultRowHeight="15" x14ac:dyDescent="0.25"/>
  <cols>
    <col min="1" max="1" width="26" customWidth="1"/>
    <col min="2" max="2" width="7.85546875" customWidth="1"/>
    <col min="3" max="3" width="7.7109375" customWidth="1"/>
    <col min="4" max="4" width="8.140625" customWidth="1"/>
    <col min="5" max="5" width="7.7109375" customWidth="1"/>
    <col min="6" max="6" width="7.7109375" style="146" customWidth="1"/>
    <col min="7" max="8" width="7.7109375" customWidth="1"/>
    <col min="9" max="9" width="7.7109375" style="146" customWidth="1"/>
    <col min="10" max="13" width="7.7109375" customWidth="1"/>
    <col min="14" max="14" width="7.7109375" style="146" customWidth="1"/>
    <col min="15" max="21" width="7.7109375" customWidth="1"/>
    <col min="22" max="22" width="8.7109375" customWidth="1"/>
    <col min="23" max="23" width="14.5703125" style="188" customWidth="1"/>
    <col min="24" max="24" width="12.5703125" style="188" customWidth="1"/>
    <col min="25" max="25" width="8.85546875" style="188"/>
  </cols>
  <sheetData>
    <row r="1" spans="1:25" x14ac:dyDescent="0.25">
      <c r="A1" s="418" t="s">
        <v>427</v>
      </c>
      <c r="B1" s="418"/>
      <c r="C1" s="418"/>
      <c r="D1" s="418"/>
      <c r="E1" s="418"/>
      <c r="F1" s="418"/>
      <c r="G1" s="418"/>
      <c r="H1" s="418"/>
      <c r="I1" s="121" t="s">
        <v>416</v>
      </c>
      <c r="J1" s="420">
        <v>0.77198196796186302</v>
      </c>
      <c r="K1" t="s">
        <v>417</v>
      </c>
      <c r="L1" s="421">
        <f>W79</f>
        <v>76.542265701136785</v>
      </c>
    </row>
    <row r="2" spans="1:25" x14ac:dyDescent="0.25">
      <c r="B2">
        <v>1</v>
      </c>
      <c r="C2">
        <f>B2+1</f>
        <v>2</v>
      </c>
      <c r="D2">
        <f t="shared" ref="D2:V2" si="0">C2+1</f>
        <v>3</v>
      </c>
      <c r="E2">
        <f t="shared" si="0"/>
        <v>4</v>
      </c>
      <c r="F2" s="146">
        <f t="shared" si="0"/>
        <v>5</v>
      </c>
      <c r="G2" s="146">
        <f t="shared" si="0"/>
        <v>6</v>
      </c>
      <c r="H2" s="146">
        <f t="shared" si="0"/>
        <v>7</v>
      </c>
      <c r="I2" s="146">
        <f t="shared" si="0"/>
        <v>8</v>
      </c>
      <c r="J2" s="146">
        <f t="shared" si="0"/>
        <v>9</v>
      </c>
      <c r="K2" s="146">
        <f t="shared" si="0"/>
        <v>10</v>
      </c>
      <c r="L2" s="146">
        <f t="shared" si="0"/>
        <v>11</v>
      </c>
      <c r="M2" s="146">
        <f t="shared" si="0"/>
        <v>12</v>
      </c>
      <c r="N2" s="146">
        <f t="shared" si="0"/>
        <v>13</v>
      </c>
      <c r="O2" s="146">
        <f t="shared" si="0"/>
        <v>14</v>
      </c>
      <c r="P2" s="146">
        <f t="shared" si="0"/>
        <v>15</v>
      </c>
      <c r="Q2" s="146">
        <f t="shared" si="0"/>
        <v>16</v>
      </c>
      <c r="R2" s="146">
        <f t="shared" si="0"/>
        <v>17</v>
      </c>
      <c r="S2" s="146">
        <f t="shared" si="0"/>
        <v>18</v>
      </c>
      <c r="T2" s="146">
        <f t="shared" si="0"/>
        <v>19</v>
      </c>
      <c r="U2" s="146">
        <f t="shared" si="0"/>
        <v>20</v>
      </c>
      <c r="V2" s="146">
        <f t="shared" si="0"/>
        <v>21</v>
      </c>
      <c r="W2" s="188" t="s">
        <v>258</v>
      </c>
      <c r="X2" s="188" t="s">
        <v>40</v>
      </c>
    </row>
    <row r="3" spans="1:25" ht="18.75" x14ac:dyDescent="0.3">
      <c r="A3" s="262" t="s">
        <v>262</v>
      </c>
      <c r="B3" s="262"/>
      <c r="C3" s="262"/>
      <c r="D3" s="262"/>
      <c r="E3" s="262"/>
    </row>
    <row r="4" spans="1:25" x14ac:dyDescent="0.25">
      <c r="A4" s="244" t="s">
        <v>259</v>
      </c>
      <c r="B4" s="261">
        <f>'1сел'!B5+'1сел'!B6+'1сел'!B7+'1сел'!B10</f>
        <v>4397</v>
      </c>
      <c r="C4" s="261">
        <f>'1сел'!C5+'1сел'!C6+'1сел'!C7+'1сел'!C10</f>
        <v>4397</v>
      </c>
      <c r="D4" s="261">
        <f>'1сел'!D5+'1сел'!D6+'1сел'!D7+'1сел'!D10</f>
        <v>4397</v>
      </c>
      <c r="E4" s="261">
        <f>'1сел'!E5+'1сел'!E6+'1сел'!E7+'1сел'!E10</f>
        <v>4397</v>
      </c>
      <c r="F4" s="261">
        <f>'1сел'!F5+'1сел'!F6+'1сел'!F7+'1сел'!F10</f>
        <v>4397</v>
      </c>
      <c r="G4" s="261">
        <f>'1сел'!G5+'1сел'!G6+'1сел'!G7+'1сел'!G10</f>
        <v>4397</v>
      </c>
      <c r="H4" s="261">
        <f>'1сел'!H5+'1сел'!H6+'1сел'!H7+'1сел'!H10</f>
        <v>4397</v>
      </c>
      <c r="I4" s="261">
        <f>'1сел'!I5+'1сел'!I6+'1сел'!I7+'1сел'!I10</f>
        <v>4397</v>
      </c>
      <c r="J4" s="261">
        <f>'1сел'!J5+'1сел'!J6+'1сел'!J7+'1сел'!J10</f>
        <v>4397</v>
      </c>
      <c r="K4" s="261">
        <f>'1сел'!K5+'1сел'!K6+'1сел'!K7+'1сел'!K10</f>
        <v>4397</v>
      </c>
      <c r="L4" s="261">
        <f>'1сел'!L5+'1сел'!L6+'1сел'!L7+'1сел'!L10</f>
        <v>4397</v>
      </c>
      <c r="M4" s="261">
        <f>'1сел'!M5+'1сел'!M6+'1сел'!M7+'1сел'!M10</f>
        <v>4397</v>
      </c>
      <c r="N4" s="261">
        <f>'1сел'!N5+'1сел'!N6+'1сел'!N7+'1сел'!N10</f>
        <v>3488</v>
      </c>
      <c r="O4" s="261">
        <f>'1сел'!O5+'1сел'!O6+'1сел'!O7+'1сел'!O10</f>
        <v>3488</v>
      </c>
      <c r="P4" s="261">
        <f>'1сел'!P5+'1сел'!P6+'1сел'!P7+'1сел'!P10</f>
        <v>6.3</v>
      </c>
      <c r="Q4" s="261">
        <f>'1сел'!Q5+'1сел'!Q6+'1сел'!Q7+'1сел'!Q10</f>
        <v>0</v>
      </c>
      <c r="R4" s="261">
        <f>'1сел'!R5+'1сел'!R6+'1сел'!R7+'1сел'!R10</f>
        <v>0</v>
      </c>
      <c r="S4" s="261">
        <f>'1сел'!S5+'1сел'!S6+'1сел'!S7+'1сел'!S10</f>
        <v>2040</v>
      </c>
      <c r="T4" s="261">
        <f>'1сел'!T5+'1сел'!T6+'1сел'!T7+'1сел'!T10</f>
        <v>0</v>
      </c>
      <c r="U4" s="261">
        <f>'1сел'!U5+'1сел'!U6+'1сел'!U7+'1сел'!U10</f>
        <v>0</v>
      </c>
      <c r="V4" s="261">
        <f>'1сел'!V5+'1сел'!V6+'1сел'!V7+'1сел'!V10</f>
        <v>0</v>
      </c>
      <c r="W4" s="199">
        <f t="shared" ref="W4:W22" si="1">SUM(B4:V4)</f>
        <v>61786.3</v>
      </c>
      <c r="X4" s="189">
        <f>NPV('1сел'!$X$1,B4:V4)</f>
        <v>53272.586999344836</v>
      </c>
    </row>
    <row r="5" spans="1:25" x14ac:dyDescent="0.25">
      <c r="A5" s="244" t="s">
        <v>261</v>
      </c>
      <c r="B5" s="58">
        <f>('3товар'!B4+'3товар'!B5)*1000</f>
        <v>935000</v>
      </c>
      <c r="C5" s="58">
        <f>('3товар'!C4+'3товар'!C5)*1000</f>
        <v>935000</v>
      </c>
      <c r="D5" s="58">
        <f>('3товар'!D4+'3товар'!D5)*1000</f>
        <v>935000</v>
      </c>
      <c r="E5" s="58">
        <f>('3товар'!E4+'3товар'!E5)*1000</f>
        <v>935000</v>
      </c>
      <c r="F5" s="251">
        <f>('3товар'!F4+'3товар'!F5)*1000</f>
        <v>935000</v>
      </c>
      <c r="G5" s="58">
        <f>('3товар'!G4+'3товар'!G5)*1000</f>
        <v>935000</v>
      </c>
      <c r="H5" s="58">
        <f>('3товар'!H4+'3товар'!H5)*1000</f>
        <v>935000</v>
      </c>
      <c r="I5" s="251">
        <f>('3товар'!I4+'3товар'!I5)*1000</f>
        <v>935000</v>
      </c>
      <c r="J5" s="58">
        <f>('3товар'!J4+'3товар'!J5)*1000</f>
        <v>935000</v>
      </c>
      <c r="K5" s="58">
        <f>('3товар'!K4+'3товар'!K5)*1000</f>
        <v>935000</v>
      </c>
      <c r="L5" s="58">
        <f>('3товар'!L4+'3товар'!L5)*1000</f>
        <v>935000</v>
      </c>
      <c r="M5" s="58">
        <f>('3товар'!M4+'3товар'!M5)*1000</f>
        <v>935000</v>
      </c>
      <c r="N5" s="251">
        <f>('3товар'!N4+'3товар'!N5)*1000</f>
        <v>935000</v>
      </c>
      <c r="O5" s="58">
        <f>('3товар'!O4+'3товар'!O5)*1000</f>
        <v>935000</v>
      </c>
      <c r="P5" s="58">
        <f>('3товар'!P4+'3товар'!P5)*1000</f>
        <v>935000</v>
      </c>
      <c r="Q5" s="58">
        <f>('3товар'!Q4+'3товар'!Q5)*1000</f>
        <v>935000</v>
      </c>
      <c r="R5" s="58">
        <f>('3товар'!R4+'3товар'!R5)*1000</f>
        <v>935000</v>
      </c>
      <c r="S5" s="58">
        <f>('3товар'!S4+'3товар'!S5)*1000</f>
        <v>935000</v>
      </c>
      <c r="T5" s="58">
        <f>('3товар'!T4+'3товар'!T5)*1000</f>
        <v>884000</v>
      </c>
      <c r="U5" s="58">
        <f>('3товар'!U4+'3товар'!U5)*1000</f>
        <v>884000</v>
      </c>
      <c r="V5" s="58">
        <f>('3товар'!V4+'3товар'!V5)*1000</f>
        <v>884000</v>
      </c>
      <c r="W5" s="199">
        <f t="shared" si="1"/>
        <v>19482000</v>
      </c>
      <c r="X5" s="189">
        <f>NPV('1сел'!$X$1,B5:V5)</f>
        <v>15802502.492488489</v>
      </c>
    </row>
    <row r="6" spans="1:25" x14ac:dyDescent="0.25">
      <c r="A6" s="244" t="s">
        <v>260</v>
      </c>
      <c r="B6" s="247">
        <f>('2сем'!B4+'2сем'!B9+'2сем'!B10)</f>
        <v>0</v>
      </c>
      <c r="C6" s="247">
        <f>('2сем'!C4+'2сем'!C9+'2сем'!C10)</f>
        <v>0</v>
      </c>
      <c r="D6" s="247">
        <f>('2сем'!D4+'2сем'!D9+'2сем'!D10)</f>
        <v>0</v>
      </c>
      <c r="E6" s="247">
        <f>('2сем'!E4+'2сем'!E9+'2сем'!E10)</f>
        <v>0</v>
      </c>
      <c r="F6" s="253">
        <f>('2сем'!F4+'2сем'!F9+'2сем'!F10)</f>
        <v>0</v>
      </c>
      <c r="G6" s="247">
        <f>('2сем'!G4+'2сем'!G9+'2сем'!G10)</f>
        <v>0</v>
      </c>
      <c r="H6" s="247">
        <f>('2сем'!H4+'2сем'!H9+'2сем'!H10)</f>
        <v>0</v>
      </c>
      <c r="I6" s="253">
        <f>('2сем'!I4+'2сем'!I9+'2сем'!I10)</f>
        <v>0</v>
      </c>
      <c r="J6" s="247">
        <f>('2сем'!J4+'2сем'!J9+'2сем'!J10)</f>
        <v>0</v>
      </c>
      <c r="K6" s="247">
        <f>('2сем'!K4+'2сем'!K9+'2сем'!K10)</f>
        <v>0</v>
      </c>
      <c r="L6" s="247">
        <f>('2сем'!L4+'2сем'!L9+'2сем'!L10)</f>
        <v>0</v>
      </c>
      <c r="M6" s="247">
        <f>('2сем'!M4+'2сем'!M9+'2сем'!M10)</f>
        <v>0</v>
      </c>
      <c r="N6" s="253">
        <f>('2сем'!N4+'2сем'!N9+'2сем'!N10)</f>
        <v>0</v>
      </c>
      <c r="O6" s="247">
        <f>('2сем'!O4+'2сем'!O9+'2сем'!O10)</f>
        <v>0</v>
      </c>
      <c r="P6" s="247">
        <f>('2сем'!P4+'2сем'!P9+'2сем'!P10)</f>
        <v>0</v>
      </c>
      <c r="Q6" s="247">
        <f>('2сем'!Q4+'2сем'!Q9+'2сем'!Q10)</f>
        <v>0</v>
      </c>
      <c r="R6" s="247">
        <f>('2сем'!R4+'2сем'!R9+'2сем'!R10)</f>
        <v>800.00000000000011</v>
      </c>
      <c r="S6" s="247">
        <f>('2сем'!S4+'2сем'!S9+'2сем'!S10)</f>
        <v>800.00000000000011</v>
      </c>
      <c r="T6" s="247">
        <f>('2сем'!T4+'2сем'!T9+'2сем'!T10)</f>
        <v>0</v>
      </c>
      <c r="U6" s="247">
        <f>('2сем'!U4+'2сем'!U9+'2сем'!U10)</f>
        <v>0</v>
      </c>
      <c r="V6" s="247">
        <f>('2сем'!V4+'2сем'!V9+'2сем'!V10)</f>
        <v>0</v>
      </c>
      <c r="W6" s="199">
        <f t="shared" si="1"/>
        <v>1600.0000000000002</v>
      </c>
      <c r="X6" s="189">
        <f>NPV('1сел'!$X$1,B6:V6)</f>
        <v>1131.457549944447</v>
      </c>
    </row>
    <row r="7" spans="1:25" s="37" customFormat="1" ht="12.75" x14ac:dyDescent="0.2">
      <c r="A7" s="40" t="s">
        <v>263</v>
      </c>
      <c r="B7" s="40">
        <f>SUM(B4:B6)</f>
        <v>939397</v>
      </c>
      <c r="C7" s="40">
        <f t="shared" ref="C7:V7" si="2">SUM(C4:C6)</f>
        <v>939397</v>
      </c>
      <c r="D7" s="40">
        <f t="shared" si="2"/>
        <v>939397</v>
      </c>
      <c r="E7" s="40">
        <f t="shared" si="2"/>
        <v>939397</v>
      </c>
      <c r="F7" s="252">
        <f t="shared" si="2"/>
        <v>939397</v>
      </c>
      <c r="G7" s="40">
        <f t="shared" si="2"/>
        <v>939397</v>
      </c>
      <c r="H7" s="40">
        <f t="shared" si="2"/>
        <v>939397</v>
      </c>
      <c r="I7" s="252">
        <f t="shared" si="2"/>
        <v>939397</v>
      </c>
      <c r="J7" s="40">
        <f t="shared" si="2"/>
        <v>939397</v>
      </c>
      <c r="K7" s="40">
        <f t="shared" si="2"/>
        <v>939397</v>
      </c>
      <c r="L7" s="40">
        <f t="shared" si="2"/>
        <v>939397</v>
      </c>
      <c r="M7" s="40">
        <f t="shared" si="2"/>
        <v>939397</v>
      </c>
      <c r="N7" s="252">
        <f t="shared" si="2"/>
        <v>938488</v>
      </c>
      <c r="O7" s="40">
        <f t="shared" si="2"/>
        <v>938488</v>
      </c>
      <c r="P7" s="40">
        <f t="shared" si="2"/>
        <v>935006.3</v>
      </c>
      <c r="Q7" s="40">
        <f t="shared" si="2"/>
        <v>935000</v>
      </c>
      <c r="R7" s="40">
        <f t="shared" si="2"/>
        <v>935800</v>
      </c>
      <c r="S7" s="40">
        <f t="shared" si="2"/>
        <v>937840</v>
      </c>
      <c r="T7" s="40">
        <f t="shared" si="2"/>
        <v>884000</v>
      </c>
      <c r="U7" s="40">
        <f t="shared" si="2"/>
        <v>884000</v>
      </c>
      <c r="V7" s="40">
        <f t="shared" si="2"/>
        <v>884000</v>
      </c>
      <c r="W7" s="200">
        <f t="shared" si="1"/>
        <v>19545386.300000001</v>
      </c>
      <c r="X7" s="189">
        <f>NPV('1сел'!$X$1,B7:V7)</f>
        <v>15856906.537037784</v>
      </c>
      <c r="Y7" s="193"/>
    </row>
    <row r="8" spans="1:25" x14ac:dyDescent="0.25">
      <c r="A8" s="201" t="s">
        <v>264</v>
      </c>
      <c r="W8" s="189">
        <f t="shared" si="1"/>
        <v>0</v>
      </c>
      <c r="X8" s="189">
        <f>NPV('1сел'!$X$1,B8:V8)</f>
        <v>0</v>
      </c>
    </row>
    <row r="9" spans="1:25" x14ac:dyDescent="0.25">
      <c r="A9" s="191" t="s">
        <v>265</v>
      </c>
      <c r="B9" s="215">
        <f>'1сел'!B11</f>
        <v>0</v>
      </c>
      <c r="C9" s="215">
        <f>'1сел'!C11</f>
        <v>0</v>
      </c>
      <c r="D9" s="215">
        <f>'1сел'!D11</f>
        <v>0</v>
      </c>
      <c r="E9" s="215">
        <f>'1сел'!E11</f>
        <v>0</v>
      </c>
      <c r="F9" s="254">
        <f>'1сел'!F11</f>
        <v>0</v>
      </c>
      <c r="G9" s="215">
        <f>'1сел'!G11</f>
        <v>0</v>
      </c>
      <c r="H9" s="215">
        <f>'1сел'!H11</f>
        <v>0</v>
      </c>
      <c r="I9" s="254">
        <f>'1сел'!I11</f>
        <v>0</v>
      </c>
      <c r="J9" s="215">
        <f>'1сел'!J11</f>
        <v>0</v>
      </c>
      <c r="K9" s="215">
        <f>'1сел'!K11</f>
        <v>0</v>
      </c>
      <c r="L9" s="215">
        <f>'1сел'!L11</f>
        <v>0</v>
      </c>
      <c r="M9" s="215">
        <f>'1сел'!M11</f>
        <v>0</v>
      </c>
      <c r="N9" s="254">
        <f>'1сел'!N11</f>
        <v>0</v>
      </c>
      <c r="O9" s="215">
        <f>'1сел'!O11</f>
        <v>0</v>
      </c>
      <c r="P9" s="215">
        <f>'1сел'!P11</f>
        <v>0</v>
      </c>
      <c r="Q9" s="215">
        <f>'1сел'!Q11</f>
        <v>0</v>
      </c>
      <c r="R9" s="215">
        <f>'1сел'!R11</f>
        <v>0</v>
      </c>
      <c r="S9" s="215">
        <f>'1сел'!S11</f>
        <v>0</v>
      </c>
      <c r="T9" s="215">
        <f>'1сел'!T11</f>
        <v>8500</v>
      </c>
      <c r="U9" s="215">
        <f>'1сел'!U11</f>
        <v>8500</v>
      </c>
      <c r="V9" s="215">
        <f>'1сел'!V11</f>
        <v>8500</v>
      </c>
      <c r="W9" s="189">
        <f t="shared" si="1"/>
        <v>25500</v>
      </c>
      <c r="X9" s="189">
        <f>NPV('1сел'!$X$1,B9:V9)</f>
        <v>17163.012232032492</v>
      </c>
    </row>
    <row r="10" spans="1:25" x14ac:dyDescent="0.25">
      <c r="A10" s="191" t="s">
        <v>267</v>
      </c>
      <c r="B10" s="245">
        <f>'3товар'!B6*1000</f>
        <v>2805000</v>
      </c>
      <c r="C10" s="245">
        <f>'3товар'!C6*1000</f>
        <v>2805000</v>
      </c>
      <c r="D10" s="245">
        <f>'3товар'!D6*1000</f>
        <v>2805000</v>
      </c>
      <c r="E10" s="245">
        <f>'3товар'!E6*1000</f>
        <v>2805000</v>
      </c>
      <c r="F10" s="255">
        <f>'3товар'!F6*1000</f>
        <v>2805000</v>
      </c>
      <c r="G10" s="245">
        <f>'3товар'!G6*1000</f>
        <v>2805000</v>
      </c>
      <c r="H10" s="245">
        <f>'3товар'!H6*1000</f>
        <v>2805000</v>
      </c>
      <c r="I10" s="255">
        <f>'3товар'!I6*1000</f>
        <v>2805000</v>
      </c>
      <c r="J10" s="245">
        <f>'3товар'!J6*1000</f>
        <v>2805000</v>
      </c>
      <c r="K10" s="245">
        <f>'3товар'!K6*1000</f>
        <v>2805000</v>
      </c>
      <c r="L10" s="245">
        <f>'3товар'!L6*1000</f>
        <v>2805000</v>
      </c>
      <c r="M10" s="245">
        <f>'3товар'!M6*1000</f>
        <v>2805000</v>
      </c>
      <c r="N10" s="255">
        <f>'3товар'!N6*1000</f>
        <v>2805000</v>
      </c>
      <c r="O10" s="245">
        <f>'3товар'!O6*1000</f>
        <v>2805000</v>
      </c>
      <c r="P10" s="245">
        <f>'3товар'!P6*1000</f>
        <v>2805000</v>
      </c>
      <c r="Q10" s="245">
        <f>'3товар'!Q6*1000</f>
        <v>2805000</v>
      </c>
      <c r="R10" s="245">
        <f>'3товар'!R6*1000</f>
        <v>2805000</v>
      </c>
      <c r="S10" s="245">
        <f>'3товар'!S6*1000</f>
        <v>2805000</v>
      </c>
      <c r="T10" s="245">
        <f>'3товар'!T6*1000</f>
        <v>2805000</v>
      </c>
      <c r="U10" s="245">
        <f>'3товар'!U6*1000</f>
        <v>2805000</v>
      </c>
      <c r="V10" s="245">
        <f>'3товар'!V6*1000</f>
        <v>2805000</v>
      </c>
      <c r="W10" s="189">
        <f t="shared" si="1"/>
        <v>58905000</v>
      </c>
      <c r="X10" s="189">
        <f>NPV('1сел'!$X$1,B10:V10)</f>
        <v>47716441.697642058</v>
      </c>
    </row>
    <row r="11" spans="1:25" x14ac:dyDescent="0.25">
      <c r="A11" s="191" t="s">
        <v>266</v>
      </c>
      <c r="B11" s="215">
        <f>'2сем'!B11</f>
        <v>0</v>
      </c>
      <c r="C11" s="215">
        <f>'2сем'!C11</f>
        <v>0</v>
      </c>
      <c r="D11" s="215">
        <f>'2сем'!D11</f>
        <v>0</v>
      </c>
      <c r="E11" s="215">
        <f>'2сем'!E11</f>
        <v>0</v>
      </c>
      <c r="F11" s="254">
        <f>'2сем'!F11</f>
        <v>0</v>
      </c>
      <c r="G11" s="215">
        <f>'2сем'!G11</f>
        <v>0</v>
      </c>
      <c r="H11" s="215">
        <f>'2сем'!H11</f>
        <v>0</v>
      </c>
      <c r="I11" s="254">
        <f>'2сем'!I11</f>
        <v>0</v>
      </c>
      <c r="J11" s="215">
        <f>'2сем'!J11</f>
        <v>0</v>
      </c>
      <c r="K11" s="215">
        <f>'2сем'!K11</f>
        <v>0</v>
      </c>
      <c r="L11" s="215">
        <f>'2сем'!L11</f>
        <v>0</v>
      </c>
      <c r="M11" s="215">
        <f>'2сем'!M11</f>
        <v>0</v>
      </c>
      <c r="N11" s="254">
        <f>'2сем'!N11</f>
        <v>0</v>
      </c>
      <c r="O11" s="215">
        <f>'2сем'!O11</f>
        <v>0</v>
      </c>
      <c r="P11" s="215">
        <f>'2сем'!P11</f>
        <v>0</v>
      </c>
      <c r="Q11" s="215">
        <f>'2сем'!Q11</f>
        <v>0</v>
      </c>
      <c r="R11" s="215">
        <f>'2сем'!R11</f>
        <v>0</v>
      </c>
      <c r="S11" s="215">
        <f>'2сем'!S11</f>
        <v>2040</v>
      </c>
      <c r="T11" s="215">
        <f>'2сем'!T11</f>
        <v>0</v>
      </c>
      <c r="U11" s="215">
        <f>'2сем'!U11</f>
        <v>0</v>
      </c>
      <c r="V11" s="215">
        <f>'2сем'!V11</f>
        <v>0</v>
      </c>
      <c r="W11" s="189">
        <f t="shared" si="1"/>
        <v>2040</v>
      </c>
      <c r="X11" s="189">
        <f>NPV('1сел'!$X$1,B11:V11)</f>
        <v>1428.325124929871</v>
      </c>
    </row>
    <row r="12" spans="1:25" s="188" customFormat="1" x14ac:dyDescent="0.25">
      <c r="A12" s="194" t="s">
        <v>263</v>
      </c>
      <c r="B12" s="194">
        <f>SUM(B9:B11)</f>
        <v>2805000</v>
      </c>
      <c r="C12" s="194">
        <f t="shared" ref="C12:V12" si="3">SUM(C9:C11)</f>
        <v>2805000</v>
      </c>
      <c r="D12" s="194">
        <f t="shared" si="3"/>
        <v>2805000</v>
      </c>
      <c r="E12" s="194">
        <f t="shared" si="3"/>
        <v>2805000</v>
      </c>
      <c r="F12" s="256">
        <f t="shared" si="3"/>
        <v>2805000</v>
      </c>
      <c r="G12" s="194">
        <f t="shared" si="3"/>
        <v>2805000</v>
      </c>
      <c r="H12" s="194">
        <f t="shared" si="3"/>
        <v>2805000</v>
      </c>
      <c r="I12" s="256">
        <f t="shared" si="3"/>
        <v>2805000</v>
      </c>
      <c r="J12" s="194">
        <f t="shared" si="3"/>
        <v>2805000</v>
      </c>
      <c r="K12" s="194">
        <f t="shared" si="3"/>
        <v>2805000</v>
      </c>
      <c r="L12" s="194">
        <f t="shared" si="3"/>
        <v>2805000</v>
      </c>
      <c r="M12" s="194">
        <f t="shared" si="3"/>
        <v>2805000</v>
      </c>
      <c r="N12" s="256">
        <f t="shared" si="3"/>
        <v>2805000</v>
      </c>
      <c r="O12" s="194">
        <f t="shared" si="3"/>
        <v>2805000</v>
      </c>
      <c r="P12" s="194">
        <f t="shared" si="3"/>
        <v>2805000</v>
      </c>
      <c r="Q12" s="194">
        <f t="shared" si="3"/>
        <v>2805000</v>
      </c>
      <c r="R12" s="194">
        <f t="shared" si="3"/>
        <v>2805000</v>
      </c>
      <c r="S12" s="194">
        <f t="shared" si="3"/>
        <v>2807040</v>
      </c>
      <c r="T12" s="194">
        <f t="shared" si="3"/>
        <v>2813500</v>
      </c>
      <c r="U12" s="194">
        <f t="shared" si="3"/>
        <v>2813500</v>
      </c>
      <c r="V12" s="194">
        <f t="shared" si="3"/>
        <v>2813500</v>
      </c>
      <c r="W12" s="189">
        <f t="shared" si="1"/>
        <v>58932540</v>
      </c>
      <c r="X12" s="189">
        <f>NPV('1сел'!$X$1,B12:V12)</f>
        <v>47735033.034999028</v>
      </c>
    </row>
    <row r="13" spans="1:25" x14ac:dyDescent="0.25">
      <c r="A13" s="48" t="s">
        <v>268</v>
      </c>
      <c r="B13" s="37">
        <f>B9-B4</f>
        <v>-4397</v>
      </c>
      <c r="C13" s="37">
        <f t="shared" ref="C13:V15" si="4">C9-C4</f>
        <v>-4397</v>
      </c>
      <c r="D13" s="37">
        <f t="shared" si="4"/>
        <v>-4397</v>
      </c>
      <c r="E13" s="37">
        <f t="shared" si="4"/>
        <v>-4397</v>
      </c>
      <c r="F13" s="257">
        <f t="shared" si="4"/>
        <v>-4397</v>
      </c>
      <c r="G13" s="37">
        <f t="shared" si="4"/>
        <v>-4397</v>
      </c>
      <c r="H13" s="37">
        <f t="shared" si="4"/>
        <v>-4397</v>
      </c>
      <c r="I13" s="257">
        <f t="shared" si="4"/>
        <v>-4397</v>
      </c>
      <c r="J13" s="37">
        <f t="shared" si="4"/>
        <v>-4397</v>
      </c>
      <c r="K13" s="37">
        <f t="shared" si="4"/>
        <v>-4397</v>
      </c>
      <c r="L13" s="37">
        <f t="shared" si="4"/>
        <v>-4397</v>
      </c>
      <c r="M13" s="37">
        <f t="shared" si="4"/>
        <v>-4397</v>
      </c>
      <c r="N13" s="257">
        <f t="shared" si="4"/>
        <v>-3488</v>
      </c>
      <c r="O13" s="37">
        <f t="shared" si="4"/>
        <v>-3488</v>
      </c>
      <c r="P13" s="37">
        <f t="shared" si="4"/>
        <v>-6.3</v>
      </c>
      <c r="Q13" s="37">
        <f t="shared" si="4"/>
        <v>0</v>
      </c>
      <c r="R13" s="37">
        <f t="shared" si="4"/>
        <v>0</v>
      </c>
      <c r="S13" s="37">
        <f t="shared" si="4"/>
        <v>-2040</v>
      </c>
      <c r="T13" s="37">
        <f t="shared" si="4"/>
        <v>8500</v>
      </c>
      <c r="U13" s="37">
        <f t="shared" si="4"/>
        <v>8500</v>
      </c>
      <c r="V13" s="37">
        <f t="shared" si="4"/>
        <v>8500</v>
      </c>
      <c r="W13" s="189">
        <f t="shared" si="1"/>
        <v>-36286.300000000003</v>
      </c>
      <c r="X13" s="189">
        <f>NPV('1сел'!$X$1,B13:V13)</f>
        <v>-36109.574767312348</v>
      </c>
    </row>
    <row r="14" spans="1:25" x14ac:dyDescent="0.25">
      <c r="A14" s="245" t="s">
        <v>269</v>
      </c>
      <c r="B14" s="245">
        <f>B10-B5</f>
        <v>1870000</v>
      </c>
      <c r="C14" s="245">
        <f t="shared" si="4"/>
        <v>1870000</v>
      </c>
      <c r="D14" s="245">
        <f t="shared" si="4"/>
        <v>1870000</v>
      </c>
      <c r="E14" s="245">
        <f t="shared" si="4"/>
        <v>1870000</v>
      </c>
      <c r="F14" s="255">
        <f t="shared" si="4"/>
        <v>1870000</v>
      </c>
      <c r="G14" s="245">
        <f t="shared" si="4"/>
        <v>1870000</v>
      </c>
      <c r="H14" s="245">
        <f t="shared" si="4"/>
        <v>1870000</v>
      </c>
      <c r="I14" s="255">
        <f t="shared" si="4"/>
        <v>1870000</v>
      </c>
      <c r="J14" s="245">
        <f t="shared" si="4"/>
        <v>1870000</v>
      </c>
      <c r="K14" s="245">
        <f t="shared" si="4"/>
        <v>1870000</v>
      </c>
      <c r="L14" s="245">
        <f t="shared" si="4"/>
        <v>1870000</v>
      </c>
      <c r="M14" s="245">
        <f t="shared" si="4"/>
        <v>1870000</v>
      </c>
      <c r="N14" s="255">
        <f t="shared" si="4"/>
        <v>1870000</v>
      </c>
      <c r="O14" s="245">
        <f t="shared" si="4"/>
        <v>1870000</v>
      </c>
      <c r="P14" s="245">
        <f t="shared" si="4"/>
        <v>1870000</v>
      </c>
      <c r="Q14" s="245">
        <f t="shared" si="4"/>
        <v>1870000</v>
      </c>
      <c r="R14" s="245">
        <f t="shared" si="4"/>
        <v>1870000</v>
      </c>
      <c r="S14" s="245">
        <f t="shared" si="4"/>
        <v>1870000</v>
      </c>
      <c r="T14" s="245">
        <f t="shared" si="4"/>
        <v>1921000</v>
      </c>
      <c r="U14" s="245">
        <f t="shared" si="4"/>
        <v>1921000</v>
      </c>
      <c r="V14" s="245">
        <f t="shared" si="4"/>
        <v>1921000</v>
      </c>
      <c r="W14" s="189">
        <f t="shared" si="1"/>
        <v>39423000</v>
      </c>
      <c r="X14" s="189">
        <f>NPV('1сел'!$X$1,B14:V14)</f>
        <v>31913939.205153566</v>
      </c>
    </row>
    <row r="15" spans="1:25" x14ac:dyDescent="0.25">
      <c r="A15" s="48" t="s">
        <v>270</v>
      </c>
      <c r="B15" s="246">
        <f>B11-B6</f>
        <v>0</v>
      </c>
      <c r="C15" s="246">
        <f t="shared" si="4"/>
        <v>0</v>
      </c>
      <c r="D15" s="246">
        <f t="shared" si="4"/>
        <v>0</v>
      </c>
      <c r="E15" s="246">
        <f t="shared" si="4"/>
        <v>0</v>
      </c>
      <c r="F15" s="258">
        <f t="shared" si="4"/>
        <v>0</v>
      </c>
      <c r="G15" s="246">
        <f t="shared" si="4"/>
        <v>0</v>
      </c>
      <c r="H15" s="246">
        <f t="shared" si="4"/>
        <v>0</v>
      </c>
      <c r="I15" s="258">
        <f t="shared" si="4"/>
        <v>0</v>
      </c>
      <c r="J15" s="246">
        <f t="shared" si="4"/>
        <v>0</v>
      </c>
      <c r="K15" s="246">
        <f t="shared" si="4"/>
        <v>0</v>
      </c>
      <c r="L15" s="246">
        <f t="shared" si="4"/>
        <v>0</v>
      </c>
      <c r="M15" s="246">
        <f t="shared" si="4"/>
        <v>0</v>
      </c>
      <c r="N15" s="258">
        <f t="shared" si="4"/>
        <v>0</v>
      </c>
      <c r="O15" s="246">
        <f t="shared" si="4"/>
        <v>0</v>
      </c>
      <c r="P15" s="246">
        <f t="shared" si="4"/>
        <v>0</v>
      </c>
      <c r="Q15" s="246">
        <f t="shared" si="4"/>
        <v>0</v>
      </c>
      <c r="R15" s="246">
        <f t="shared" si="4"/>
        <v>-800.00000000000011</v>
      </c>
      <c r="S15" s="246">
        <f t="shared" si="4"/>
        <v>1240</v>
      </c>
      <c r="T15" s="246">
        <f t="shared" si="4"/>
        <v>0</v>
      </c>
      <c r="U15" s="246">
        <f t="shared" si="4"/>
        <v>0</v>
      </c>
      <c r="V15" s="246">
        <f t="shared" si="4"/>
        <v>0</v>
      </c>
      <c r="W15" s="189">
        <f t="shared" si="1"/>
        <v>439.99999999999989</v>
      </c>
      <c r="X15" s="189">
        <f>NPV('1сел'!$X$1,B15:V15)</f>
        <v>296.86757498542408</v>
      </c>
    </row>
    <row r="16" spans="1:25" x14ac:dyDescent="0.25">
      <c r="A16" s="48" t="s">
        <v>271</v>
      </c>
      <c r="B16" s="37">
        <f>SUM(B13:B15)</f>
        <v>1865603</v>
      </c>
      <c r="C16" s="37">
        <f t="shared" ref="C16:V16" si="5">SUM(C13:C15)</f>
        <v>1865603</v>
      </c>
      <c r="D16" s="37">
        <f t="shared" si="5"/>
        <v>1865603</v>
      </c>
      <c r="E16" s="37">
        <f t="shared" si="5"/>
        <v>1865603</v>
      </c>
      <c r="F16" s="257">
        <f t="shared" si="5"/>
        <v>1865603</v>
      </c>
      <c r="G16" s="37">
        <f t="shared" si="5"/>
        <v>1865603</v>
      </c>
      <c r="H16" s="37">
        <f t="shared" si="5"/>
        <v>1865603</v>
      </c>
      <c r="I16" s="257">
        <f t="shared" si="5"/>
        <v>1865603</v>
      </c>
      <c r="J16" s="37">
        <f t="shared" si="5"/>
        <v>1865603</v>
      </c>
      <c r="K16" s="37">
        <f t="shared" si="5"/>
        <v>1865603</v>
      </c>
      <c r="L16" s="37">
        <f t="shared" si="5"/>
        <v>1865603</v>
      </c>
      <c r="M16" s="37">
        <f t="shared" si="5"/>
        <v>1865603</v>
      </c>
      <c r="N16" s="257">
        <f t="shared" si="5"/>
        <v>1866512</v>
      </c>
      <c r="O16" s="37">
        <f t="shared" si="5"/>
        <v>1866512</v>
      </c>
      <c r="P16" s="37">
        <f t="shared" si="5"/>
        <v>1869993.7</v>
      </c>
      <c r="Q16" s="37">
        <f t="shared" si="5"/>
        <v>1870000</v>
      </c>
      <c r="R16" s="37">
        <f t="shared" si="5"/>
        <v>1869200</v>
      </c>
      <c r="S16" s="37">
        <f t="shared" si="5"/>
        <v>1869200</v>
      </c>
      <c r="T16" s="37">
        <f t="shared" si="5"/>
        <v>1929500</v>
      </c>
      <c r="U16" s="37">
        <f t="shared" si="5"/>
        <v>1929500</v>
      </c>
      <c r="V16" s="37">
        <f t="shared" si="5"/>
        <v>1929500</v>
      </c>
      <c r="W16" s="277">
        <f t="shared" si="1"/>
        <v>39387153.700000003</v>
      </c>
      <c r="X16" s="189">
        <f>NPV('1сел'!$X$1,B16:V16)</f>
        <v>31878126.497961242</v>
      </c>
    </row>
    <row r="17" spans="1:25" s="146" customFormat="1" x14ac:dyDescent="0.25">
      <c r="A17" s="195" t="s">
        <v>318</v>
      </c>
      <c r="B17" s="196">
        <f t="shared" ref="B17:V17" si="6">B22-B16</f>
        <v>0</v>
      </c>
      <c r="C17" s="196">
        <f t="shared" si="6"/>
        <v>0</v>
      </c>
      <c r="D17" s="196">
        <f t="shared" si="6"/>
        <v>0</v>
      </c>
      <c r="E17" s="196">
        <f t="shared" si="6"/>
        <v>0</v>
      </c>
      <c r="F17" s="196">
        <f t="shared" si="6"/>
        <v>0</v>
      </c>
      <c r="G17" s="196">
        <f t="shared" si="6"/>
        <v>0</v>
      </c>
      <c r="H17" s="196">
        <f t="shared" si="6"/>
        <v>0</v>
      </c>
      <c r="I17" s="196">
        <f t="shared" si="6"/>
        <v>0</v>
      </c>
      <c r="J17" s="196">
        <f t="shared" si="6"/>
        <v>0</v>
      </c>
      <c r="K17" s="196">
        <f t="shared" si="6"/>
        <v>0</v>
      </c>
      <c r="L17" s="196">
        <f t="shared" si="6"/>
        <v>0</v>
      </c>
      <c r="M17" s="196">
        <f t="shared" si="6"/>
        <v>0</v>
      </c>
      <c r="N17" s="196">
        <f t="shared" si="6"/>
        <v>0</v>
      </c>
      <c r="O17" s="196">
        <f t="shared" si="6"/>
        <v>0</v>
      </c>
      <c r="P17" s="196">
        <f t="shared" si="6"/>
        <v>0</v>
      </c>
      <c r="Q17" s="196">
        <f t="shared" si="6"/>
        <v>0</v>
      </c>
      <c r="R17" s="196">
        <f t="shared" si="6"/>
        <v>0</v>
      </c>
      <c r="S17" s="196">
        <f t="shared" si="6"/>
        <v>0</v>
      </c>
      <c r="T17" s="196">
        <f t="shared" si="6"/>
        <v>0</v>
      </c>
      <c r="U17" s="196">
        <f t="shared" si="6"/>
        <v>0</v>
      </c>
      <c r="V17" s="196">
        <f t="shared" si="6"/>
        <v>0</v>
      </c>
      <c r="W17" s="197">
        <f t="shared" si="1"/>
        <v>0</v>
      </c>
      <c r="X17" s="189">
        <f>NPV('1сел'!$X$1,B17:V17)</f>
        <v>0</v>
      </c>
      <c r="Y17" s="198"/>
    </row>
    <row r="18" spans="1:25" x14ac:dyDescent="0.25">
      <c r="A18" s="48" t="s">
        <v>272</v>
      </c>
      <c r="B18" s="48">
        <f>B12-B7</f>
        <v>1865603</v>
      </c>
      <c r="C18" s="48">
        <f t="shared" ref="C18:V18" si="7">C12-C7</f>
        <v>1865603</v>
      </c>
      <c r="D18" s="48">
        <f t="shared" si="7"/>
        <v>1865603</v>
      </c>
      <c r="E18" s="48">
        <f t="shared" si="7"/>
        <v>1865603</v>
      </c>
      <c r="F18" s="195">
        <f t="shared" si="7"/>
        <v>1865603</v>
      </c>
      <c r="G18" s="48">
        <f t="shared" si="7"/>
        <v>1865603</v>
      </c>
      <c r="H18" s="48">
        <f t="shared" si="7"/>
        <v>1865603</v>
      </c>
      <c r="I18" s="195">
        <f t="shared" si="7"/>
        <v>1865603</v>
      </c>
      <c r="J18" s="48">
        <f t="shared" si="7"/>
        <v>1865603</v>
      </c>
      <c r="K18" s="48">
        <f t="shared" si="7"/>
        <v>1865603</v>
      </c>
      <c r="L18" s="48">
        <f t="shared" si="7"/>
        <v>1865603</v>
      </c>
      <c r="M18" s="48">
        <f t="shared" si="7"/>
        <v>1865603</v>
      </c>
      <c r="N18" s="195">
        <f t="shared" si="7"/>
        <v>1866512</v>
      </c>
      <c r="O18" s="48">
        <f t="shared" si="7"/>
        <v>1866512</v>
      </c>
      <c r="P18" s="48">
        <f t="shared" si="7"/>
        <v>1869993.7</v>
      </c>
      <c r="Q18" s="48">
        <f t="shared" si="7"/>
        <v>1870000</v>
      </c>
      <c r="R18" s="48">
        <f t="shared" si="7"/>
        <v>1869200</v>
      </c>
      <c r="S18" s="48">
        <f t="shared" si="7"/>
        <v>1869200</v>
      </c>
      <c r="T18" s="48">
        <f t="shared" si="7"/>
        <v>1929500</v>
      </c>
      <c r="U18" s="48">
        <f t="shared" si="7"/>
        <v>1929500</v>
      </c>
      <c r="V18" s="48">
        <f t="shared" si="7"/>
        <v>1929500</v>
      </c>
      <c r="W18" s="277">
        <f t="shared" si="1"/>
        <v>39387153.700000003</v>
      </c>
      <c r="X18" s="189">
        <f>NPV('1сел'!$X$1,B18:V18)</f>
        <v>31878126.497961242</v>
      </c>
    </row>
    <row r="19" spans="1:25" s="21" customFormat="1" ht="12.75" x14ac:dyDescent="0.2">
      <c r="A19" s="21" t="s">
        <v>85</v>
      </c>
      <c r="B19" s="248">
        <f>'1сел'!B13</f>
        <v>-4397</v>
      </c>
      <c r="C19" s="248">
        <f>'1сел'!C13</f>
        <v>-4397</v>
      </c>
      <c r="D19" s="248">
        <f>'1сел'!D13</f>
        <v>-4397</v>
      </c>
      <c r="E19" s="248">
        <f>'1сел'!E13</f>
        <v>-4397</v>
      </c>
      <c r="F19" s="259">
        <f>'1сел'!F13</f>
        <v>-4397</v>
      </c>
      <c r="G19" s="248">
        <f>'1сел'!G13</f>
        <v>-4397</v>
      </c>
      <c r="H19" s="248">
        <f>'1сел'!H13</f>
        <v>-4397</v>
      </c>
      <c r="I19" s="259">
        <f>'1сел'!I13</f>
        <v>-4397</v>
      </c>
      <c r="J19" s="248">
        <f>'1сел'!J13</f>
        <v>-4397</v>
      </c>
      <c r="K19" s="248">
        <f>'1сел'!K13</f>
        <v>-4397</v>
      </c>
      <c r="L19" s="248">
        <f>'1сел'!L13</f>
        <v>-4397</v>
      </c>
      <c r="M19" s="248">
        <f>'1сел'!M13</f>
        <v>-4397</v>
      </c>
      <c r="N19" s="259">
        <f>'1сел'!N13</f>
        <v>-3488</v>
      </c>
      <c r="O19" s="248">
        <f>'1сел'!O13</f>
        <v>-3488</v>
      </c>
      <c r="P19" s="249">
        <f>'1сел'!P13</f>
        <v>-6.3</v>
      </c>
      <c r="Q19" s="248">
        <f>'1сел'!Q13</f>
        <v>0</v>
      </c>
      <c r="R19" s="248">
        <f>'1сел'!R13</f>
        <v>0</v>
      </c>
      <c r="S19" s="248">
        <f>'1сел'!S13</f>
        <v>-2040</v>
      </c>
      <c r="T19" s="248">
        <f>'1сел'!T13</f>
        <v>8500</v>
      </c>
      <c r="U19" s="248">
        <f>'1сел'!U13</f>
        <v>8500</v>
      </c>
      <c r="V19" s="248">
        <f>'1сел'!V13</f>
        <v>8500</v>
      </c>
      <c r="W19" s="189">
        <f t="shared" si="1"/>
        <v>-36286.300000000003</v>
      </c>
      <c r="X19" s="189">
        <f>NPV('1сел'!$X$1,B19:V19)</f>
        <v>-36109.574767312348</v>
      </c>
      <c r="Y19" s="190">
        <f>W19/$W$22</f>
        <v>-9.2127246046723097E-4</v>
      </c>
    </row>
    <row r="20" spans="1:25" x14ac:dyDescent="0.25">
      <c r="A20" t="s">
        <v>86</v>
      </c>
      <c r="B20" s="48">
        <f>'3товар'!B7*1000</f>
        <v>1870000</v>
      </c>
      <c r="C20" s="48">
        <f>'3товар'!C7*1000</f>
        <v>1870000</v>
      </c>
      <c r="D20" s="48">
        <f>'3товар'!D7*1000</f>
        <v>1870000</v>
      </c>
      <c r="E20" s="48">
        <f>'3товар'!E7*1000</f>
        <v>1870000</v>
      </c>
      <c r="F20" s="195">
        <f>'3товар'!F7*1000</f>
        <v>1870000</v>
      </c>
      <c r="G20" s="48">
        <f>'3товар'!G7*1000</f>
        <v>1870000</v>
      </c>
      <c r="H20" s="48">
        <f>'3товар'!H7*1000</f>
        <v>1870000</v>
      </c>
      <c r="I20" s="195">
        <f>'3товар'!I7*1000</f>
        <v>1870000</v>
      </c>
      <c r="J20" s="48">
        <f>'3товар'!J7*1000</f>
        <v>1870000</v>
      </c>
      <c r="K20" s="48">
        <f>'3товар'!K7*1000</f>
        <v>1870000</v>
      </c>
      <c r="L20" s="48">
        <f>'3товар'!L7*1000</f>
        <v>1870000</v>
      </c>
      <c r="M20" s="48">
        <f>'3товар'!M7*1000</f>
        <v>1870000</v>
      </c>
      <c r="N20" s="48">
        <f>'3товар'!N7*1000</f>
        <v>1870000</v>
      </c>
      <c r="O20" s="48">
        <f>'3товар'!O7*1000</f>
        <v>1870000</v>
      </c>
      <c r="P20" s="48">
        <f>'3товар'!P7*1000</f>
        <v>1870000</v>
      </c>
      <c r="Q20" s="48">
        <f>'3товар'!Q7*1000</f>
        <v>1870000</v>
      </c>
      <c r="R20" s="48">
        <f>'3товар'!R7*1000</f>
        <v>1870000</v>
      </c>
      <c r="S20" s="48">
        <f>'3товар'!S7*1000</f>
        <v>1870000</v>
      </c>
      <c r="T20" s="48">
        <f>'3товар'!T7*1000</f>
        <v>1921000</v>
      </c>
      <c r="U20" s="48">
        <f>'3товар'!U7*1000</f>
        <v>1921000</v>
      </c>
      <c r="V20" s="48">
        <f>'3товар'!V7*1000</f>
        <v>1921000</v>
      </c>
      <c r="W20" s="189">
        <f t="shared" si="1"/>
        <v>39423000</v>
      </c>
      <c r="X20" s="189">
        <f>NPV('1сел'!$X$1,B20:V20)</f>
        <v>31913939.205153566</v>
      </c>
      <c r="Y20" s="190">
        <f>W20/$W$22</f>
        <v>1.0009101013054416</v>
      </c>
    </row>
    <row r="21" spans="1:25" x14ac:dyDescent="0.25">
      <c r="A21" t="s">
        <v>87</v>
      </c>
      <c r="B21" s="215">
        <f>'2сем'!B13</f>
        <v>0</v>
      </c>
      <c r="C21" s="215">
        <f>'2сем'!C13</f>
        <v>0</v>
      </c>
      <c r="D21" s="215">
        <f>'2сем'!D13</f>
        <v>0</v>
      </c>
      <c r="E21" s="215">
        <f>'2сем'!E13</f>
        <v>0</v>
      </c>
      <c r="F21" s="215">
        <f>'2сем'!F13</f>
        <v>0</v>
      </c>
      <c r="G21" s="215">
        <f>'2сем'!G13</f>
        <v>0</v>
      </c>
      <c r="H21" s="215">
        <f>'2сем'!H13</f>
        <v>0</v>
      </c>
      <c r="I21" s="215">
        <f>'2сем'!I13</f>
        <v>0</v>
      </c>
      <c r="J21" s="215">
        <f>'2сем'!J13</f>
        <v>0</v>
      </c>
      <c r="K21" s="215">
        <f>'2сем'!K13</f>
        <v>0</v>
      </c>
      <c r="L21" s="215">
        <f>'2сем'!L13</f>
        <v>0</v>
      </c>
      <c r="M21" s="215">
        <f>'2сем'!M13</f>
        <v>0</v>
      </c>
      <c r="N21" s="254">
        <f>'2сем'!N13</f>
        <v>0</v>
      </c>
      <c r="O21" s="215">
        <f>'2сем'!O13</f>
        <v>0</v>
      </c>
      <c r="P21" s="215">
        <f>'2сем'!P13</f>
        <v>0</v>
      </c>
      <c r="Q21" s="215">
        <f>'2сем'!Q13</f>
        <v>0</v>
      </c>
      <c r="R21" s="215">
        <f>'2сем'!R13</f>
        <v>-800.00000000000011</v>
      </c>
      <c r="S21" s="215">
        <f>'2сем'!S13</f>
        <v>1240</v>
      </c>
      <c r="T21" s="215">
        <f>'2сем'!T13</f>
        <v>0</v>
      </c>
      <c r="U21" s="215">
        <f>'2сем'!U13</f>
        <v>0</v>
      </c>
      <c r="V21" s="215">
        <f>'2сем'!V13</f>
        <v>0</v>
      </c>
      <c r="W21" s="189">
        <f t="shared" si="1"/>
        <v>439.99999999999989</v>
      </c>
      <c r="X21" s="189">
        <f>NPV('1сел'!$X$1,B21:V21)</f>
        <v>296.86757498542408</v>
      </c>
      <c r="Y21" s="190">
        <f>W21/$W$22</f>
        <v>1.1171155025604194E-5</v>
      </c>
    </row>
    <row r="22" spans="1:25" s="192" customFormat="1" ht="12.75" x14ac:dyDescent="0.2">
      <c r="A22" s="192" t="s">
        <v>88</v>
      </c>
      <c r="B22" s="250">
        <f t="shared" ref="B22:V22" si="8">SUM(B19:B21)</f>
        <v>1865603</v>
      </c>
      <c r="C22" s="250">
        <f t="shared" si="8"/>
        <v>1865603</v>
      </c>
      <c r="D22" s="250">
        <f t="shared" si="8"/>
        <v>1865603</v>
      </c>
      <c r="E22" s="250">
        <f t="shared" si="8"/>
        <v>1865603</v>
      </c>
      <c r="F22" s="260">
        <f t="shared" si="8"/>
        <v>1865603</v>
      </c>
      <c r="G22" s="250">
        <f t="shared" si="8"/>
        <v>1865603</v>
      </c>
      <c r="H22" s="250">
        <f t="shared" si="8"/>
        <v>1865603</v>
      </c>
      <c r="I22" s="260">
        <f t="shared" si="8"/>
        <v>1865603</v>
      </c>
      <c r="J22" s="250">
        <f t="shared" si="8"/>
        <v>1865603</v>
      </c>
      <c r="K22" s="250">
        <f t="shared" si="8"/>
        <v>1865603</v>
      </c>
      <c r="L22" s="250">
        <f t="shared" si="8"/>
        <v>1865603</v>
      </c>
      <c r="M22" s="250">
        <f t="shared" si="8"/>
        <v>1865603</v>
      </c>
      <c r="N22" s="260">
        <f t="shared" si="8"/>
        <v>1866512</v>
      </c>
      <c r="O22" s="250">
        <f t="shared" si="8"/>
        <v>1866512</v>
      </c>
      <c r="P22" s="250">
        <f t="shared" si="8"/>
        <v>1869993.7</v>
      </c>
      <c r="Q22" s="250">
        <f t="shared" si="8"/>
        <v>1870000</v>
      </c>
      <c r="R22" s="250">
        <f t="shared" si="8"/>
        <v>1869200</v>
      </c>
      <c r="S22" s="250">
        <f t="shared" si="8"/>
        <v>1869200</v>
      </c>
      <c r="T22" s="250">
        <f t="shared" si="8"/>
        <v>1929500</v>
      </c>
      <c r="U22" s="250">
        <f t="shared" si="8"/>
        <v>1929500</v>
      </c>
      <c r="V22" s="250">
        <f t="shared" si="8"/>
        <v>1929500</v>
      </c>
      <c r="W22" s="277">
        <f t="shared" si="1"/>
        <v>39387153.700000003</v>
      </c>
      <c r="X22" s="189">
        <f>NPV('1сел'!$X$1,B22:V22)</f>
        <v>31878126.497961242</v>
      </c>
      <c r="Y22" s="190">
        <f>W22/$W$22</f>
        <v>1</v>
      </c>
    </row>
    <row r="23" spans="1:25" s="192" customFormat="1" ht="12.75" x14ac:dyDescent="0.2">
      <c r="A23" s="48" t="s">
        <v>335</v>
      </c>
      <c r="B23" s="250"/>
      <c r="C23" s="250"/>
      <c r="D23" s="250"/>
      <c r="E23" s="250"/>
      <c r="F23" s="260"/>
      <c r="G23" s="250"/>
      <c r="H23" s="250"/>
      <c r="I23" s="260"/>
      <c r="J23" s="250"/>
      <c r="K23" s="250"/>
      <c r="L23" s="250"/>
      <c r="M23" s="250"/>
      <c r="N23" s="260"/>
      <c r="O23" s="250"/>
      <c r="P23" s="250"/>
      <c r="Q23" s="250"/>
      <c r="R23" s="250"/>
      <c r="S23" s="250"/>
      <c r="T23" s="250"/>
      <c r="U23" s="250"/>
      <c r="V23" s="250"/>
      <c r="W23" s="189"/>
      <c r="X23" s="189"/>
      <c r="Y23" s="190"/>
    </row>
    <row r="24" spans="1:25" s="192" customFormat="1" ht="12.75" x14ac:dyDescent="0.2">
      <c r="A24" s="192" t="s">
        <v>320</v>
      </c>
      <c r="B24" s="250">
        <f>B19</f>
        <v>-4397</v>
      </c>
      <c r="C24" s="250">
        <f>B24+C19</f>
        <v>-8794</v>
      </c>
      <c r="D24" s="250">
        <f t="shared" ref="D24:V26" si="9">C24+D19</f>
        <v>-13191</v>
      </c>
      <c r="E24" s="250">
        <f t="shared" si="9"/>
        <v>-17588</v>
      </c>
      <c r="F24" s="250">
        <f t="shared" si="9"/>
        <v>-21985</v>
      </c>
      <c r="G24" s="250">
        <f t="shared" si="9"/>
        <v>-26382</v>
      </c>
      <c r="H24" s="250">
        <f t="shared" si="9"/>
        <v>-30779</v>
      </c>
      <c r="I24" s="250">
        <f t="shared" si="9"/>
        <v>-35176</v>
      </c>
      <c r="J24" s="250">
        <f t="shared" si="9"/>
        <v>-39573</v>
      </c>
      <c r="K24" s="250">
        <f t="shared" si="9"/>
        <v>-43970</v>
      </c>
      <c r="L24" s="250">
        <f t="shared" si="9"/>
        <v>-48367</v>
      </c>
      <c r="M24" s="250">
        <f t="shared" si="9"/>
        <v>-52764</v>
      </c>
      <c r="N24" s="250">
        <f t="shared" si="9"/>
        <v>-56252</v>
      </c>
      <c r="O24" s="250">
        <f t="shared" si="9"/>
        <v>-59740</v>
      </c>
      <c r="P24" s="250">
        <f t="shared" si="9"/>
        <v>-59746.3</v>
      </c>
      <c r="Q24" s="250">
        <f t="shared" si="9"/>
        <v>-59746.3</v>
      </c>
      <c r="R24" s="250">
        <f t="shared" si="9"/>
        <v>-59746.3</v>
      </c>
      <c r="S24" s="250">
        <f t="shared" si="9"/>
        <v>-61786.3</v>
      </c>
      <c r="T24" s="250">
        <f t="shared" si="9"/>
        <v>-53286.3</v>
      </c>
      <c r="U24" s="250">
        <f t="shared" si="9"/>
        <v>-44786.3</v>
      </c>
      <c r="V24" s="250">
        <f t="shared" si="9"/>
        <v>-36286.300000000003</v>
      </c>
      <c r="W24" s="189" t="s">
        <v>338</v>
      </c>
      <c r="X24" s="189"/>
      <c r="Y24" s="190"/>
    </row>
    <row r="25" spans="1:25" s="192" customFormat="1" ht="12.75" x14ac:dyDescent="0.2">
      <c r="A25" s="192" t="s">
        <v>336</v>
      </c>
      <c r="B25" s="250">
        <f>B20</f>
        <v>1870000</v>
      </c>
      <c r="C25" s="250">
        <f t="shared" ref="C25:R26" si="10">B25+C20</f>
        <v>3740000</v>
      </c>
      <c r="D25" s="250">
        <f t="shared" si="10"/>
        <v>5610000</v>
      </c>
      <c r="E25" s="250">
        <f t="shared" si="10"/>
        <v>7480000</v>
      </c>
      <c r="F25" s="250">
        <f t="shared" si="10"/>
        <v>9350000</v>
      </c>
      <c r="G25" s="250">
        <f t="shared" si="10"/>
        <v>11220000</v>
      </c>
      <c r="H25" s="250">
        <f t="shared" si="10"/>
        <v>13090000</v>
      </c>
      <c r="I25" s="250">
        <f t="shared" si="10"/>
        <v>14960000</v>
      </c>
      <c r="J25" s="250">
        <f t="shared" si="10"/>
        <v>16830000</v>
      </c>
      <c r="K25" s="250">
        <f t="shared" si="10"/>
        <v>18700000</v>
      </c>
      <c r="L25" s="250">
        <f t="shared" si="10"/>
        <v>20570000</v>
      </c>
      <c r="M25" s="250">
        <f t="shared" si="10"/>
        <v>22440000</v>
      </c>
      <c r="N25" s="250">
        <f t="shared" si="10"/>
        <v>24310000</v>
      </c>
      <c r="O25" s="250">
        <f t="shared" si="10"/>
        <v>26180000</v>
      </c>
      <c r="P25" s="250">
        <f t="shared" si="10"/>
        <v>28050000</v>
      </c>
      <c r="Q25" s="250">
        <f t="shared" si="10"/>
        <v>29920000</v>
      </c>
      <c r="R25" s="250">
        <f t="shared" si="10"/>
        <v>31790000</v>
      </c>
      <c r="S25" s="250">
        <f t="shared" si="9"/>
        <v>33660000</v>
      </c>
      <c r="T25" s="250">
        <f t="shared" si="9"/>
        <v>35581000</v>
      </c>
      <c r="U25" s="250">
        <f t="shared" si="9"/>
        <v>37502000</v>
      </c>
      <c r="V25" s="250">
        <f t="shared" si="9"/>
        <v>39423000</v>
      </c>
      <c r="W25" s="189"/>
      <c r="X25" s="189"/>
      <c r="Y25" s="190"/>
    </row>
    <row r="26" spans="1:25" s="192" customFormat="1" ht="12.75" x14ac:dyDescent="0.2">
      <c r="A26" s="192" t="s">
        <v>322</v>
      </c>
      <c r="B26" s="250">
        <f>B21</f>
        <v>0</v>
      </c>
      <c r="C26" s="250">
        <f t="shared" si="10"/>
        <v>0</v>
      </c>
      <c r="D26" s="250">
        <f t="shared" si="9"/>
        <v>0</v>
      </c>
      <c r="E26" s="250">
        <f t="shared" si="9"/>
        <v>0</v>
      </c>
      <c r="F26" s="250">
        <f t="shared" si="9"/>
        <v>0</v>
      </c>
      <c r="G26" s="250">
        <f t="shared" si="9"/>
        <v>0</v>
      </c>
      <c r="H26" s="250">
        <f t="shared" si="9"/>
        <v>0</v>
      </c>
      <c r="I26" s="250">
        <f t="shared" si="9"/>
        <v>0</v>
      </c>
      <c r="J26" s="250">
        <f t="shared" si="9"/>
        <v>0</v>
      </c>
      <c r="K26" s="250">
        <f t="shared" si="9"/>
        <v>0</v>
      </c>
      <c r="L26" s="250">
        <f t="shared" si="9"/>
        <v>0</v>
      </c>
      <c r="M26" s="250">
        <f t="shared" si="9"/>
        <v>0</v>
      </c>
      <c r="N26" s="250">
        <f t="shared" si="9"/>
        <v>0</v>
      </c>
      <c r="O26" s="250">
        <f t="shared" si="9"/>
        <v>0</v>
      </c>
      <c r="P26" s="250">
        <f t="shared" si="9"/>
        <v>0</v>
      </c>
      <c r="Q26" s="250">
        <f t="shared" si="9"/>
        <v>0</v>
      </c>
      <c r="R26" s="250">
        <f t="shared" si="9"/>
        <v>-800.00000000000011</v>
      </c>
      <c r="S26" s="250">
        <f t="shared" si="9"/>
        <v>439.99999999999989</v>
      </c>
      <c r="T26" s="250">
        <f t="shared" si="9"/>
        <v>439.99999999999989</v>
      </c>
      <c r="U26" s="250">
        <f t="shared" si="9"/>
        <v>439.99999999999989</v>
      </c>
      <c r="V26" s="250">
        <f t="shared" si="9"/>
        <v>439.99999999999989</v>
      </c>
      <c r="W26" s="189"/>
      <c r="X26" s="189"/>
      <c r="Y26" s="190"/>
    </row>
    <row r="27" spans="1:25" s="192" customFormat="1" ht="12.75" x14ac:dyDescent="0.2">
      <c r="A27" s="192" t="s">
        <v>337</v>
      </c>
      <c r="B27" s="250">
        <f>SUM(B24:B26)</f>
        <v>1865603</v>
      </c>
      <c r="C27" s="250">
        <f>B27+SUM(C19:C21)</f>
        <v>3731206</v>
      </c>
      <c r="D27" s="250">
        <f t="shared" ref="D27:S27" si="11">C27+SUM(D19:D21)</f>
        <v>5596809</v>
      </c>
      <c r="E27" s="250">
        <f t="shared" si="11"/>
        <v>7462412</v>
      </c>
      <c r="F27" s="250">
        <f t="shared" si="11"/>
        <v>9328015</v>
      </c>
      <c r="G27" s="250">
        <f t="shared" si="11"/>
        <v>11193618</v>
      </c>
      <c r="H27" s="250">
        <f t="shared" si="11"/>
        <v>13059221</v>
      </c>
      <c r="I27" s="250">
        <f t="shared" si="11"/>
        <v>14924824</v>
      </c>
      <c r="J27" s="250">
        <f t="shared" si="11"/>
        <v>16790427</v>
      </c>
      <c r="K27" s="250">
        <f t="shared" si="11"/>
        <v>18656030</v>
      </c>
      <c r="L27" s="250">
        <f t="shared" si="11"/>
        <v>20521633</v>
      </c>
      <c r="M27" s="250">
        <f t="shared" si="11"/>
        <v>22387236</v>
      </c>
      <c r="N27" s="250">
        <f t="shared" si="11"/>
        <v>24253748</v>
      </c>
      <c r="O27" s="250">
        <f t="shared" si="11"/>
        <v>26120260</v>
      </c>
      <c r="P27" s="250">
        <f t="shared" si="11"/>
        <v>27990253.699999999</v>
      </c>
      <c r="Q27" s="250">
        <f t="shared" si="11"/>
        <v>29860253.699999999</v>
      </c>
      <c r="R27" s="250">
        <f t="shared" si="11"/>
        <v>31729453.699999999</v>
      </c>
      <c r="S27" s="250">
        <f t="shared" si="11"/>
        <v>33598653.700000003</v>
      </c>
      <c r="T27" s="250">
        <f>S27+SUM(T19:T21)</f>
        <v>35528153.700000003</v>
      </c>
      <c r="U27" s="250">
        <f>T27+SUM(U19:U21)</f>
        <v>37457653.700000003</v>
      </c>
      <c r="V27" s="250">
        <f>U27+SUM(V19:V21)</f>
        <v>39387153.700000003</v>
      </c>
      <c r="W27" s="189"/>
      <c r="X27" s="189"/>
      <c r="Y27" s="190"/>
    </row>
    <row r="28" spans="1:25" s="192" customFormat="1" ht="12.75" x14ac:dyDescent="0.2">
      <c r="A28" s="192" t="s">
        <v>340</v>
      </c>
      <c r="B28" s="250"/>
      <c r="C28" s="250"/>
      <c r="D28" s="250"/>
      <c r="E28" s="250"/>
      <c r="F28" s="260"/>
      <c r="G28" s="250"/>
      <c r="H28" s="250"/>
      <c r="I28" s="260"/>
      <c r="J28" s="250"/>
      <c r="K28" s="250"/>
      <c r="L28" s="250"/>
      <c r="M28" s="250"/>
      <c r="N28" s="260"/>
      <c r="O28" s="250"/>
      <c r="P28" s="250"/>
      <c r="Q28" s="250"/>
      <c r="R28" s="250"/>
      <c r="S28" s="250"/>
      <c r="T28" s="250"/>
      <c r="U28" s="250"/>
      <c r="V28" s="250"/>
      <c r="W28" s="189"/>
      <c r="X28" s="189"/>
      <c r="Y28" s="190"/>
    </row>
    <row r="29" spans="1:25" s="192" customFormat="1" ht="12.75" x14ac:dyDescent="0.2">
      <c r="B29" s="250"/>
      <c r="C29" s="250"/>
      <c r="D29" s="250"/>
      <c r="E29" s="250"/>
      <c r="F29" s="260"/>
      <c r="G29" s="250"/>
      <c r="H29" s="250"/>
      <c r="I29" s="260"/>
      <c r="J29" s="250"/>
      <c r="K29" s="250"/>
      <c r="L29" s="250"/>
      <c r="M29" s="250"/>
      <c r="N29" s="260"/>
      <c r="O29" s="250"/>
      <c r="P29" s="250"/>
      <c r="Q29" s="250"/>
      <c r="R29" s="250"/>
      <c r="S29" s="250"/>
      <c r="T29" s="250"/>
      <c r="U29" s="250"/>
      <c r="V29" s="250"/>
      <c r="W29" s="189"/>
      <c r="X29" s="189"/>
      <c r="Y29" s="190"/>
    </row>
    <row r="30" spans="1:25" s="192" customFormat="1" ht="12.75" x14ac:dyDescent="0.2">
      <c r="B30" s="250"/>
      <c r="C30" s="250"/>
      <c r="D30" s="250"/>
      <c r="E30" s="250"/>
      <c r="F30" s="260"/>
      <c r="G30" s="250"/>
      <c r="H30" s="250"/>
      <c r="I30" s="260"/>
      <c r="J30" s="250"/>
      <c r="K30" s="250"/>
      <c r="L30" s="250"/>
      <c r="M30" s="250"/>
      <c r="N30" s="260"/>
      <c r="O30" s="250"/>
      <c r="P30" s="250"/>
      <c r="Q30" s="250"/>
      <c r="R30" s="250"/>
      <c r="S30" s="250"/>
      <c r="T30" s="250"/>
      <c r="U30" s="250"/>
      <c r="V30" s="250"/>
      <c r="W30" s="189"/>
      <c r="X30" s="189"/>
      <c r="Y30" s="190"/>
    </row>
    <row r="31" spans="1:25" ht="18.75" x14ac:dyDescent="0.3">
      <c r="A31" s="262" t="s">
        <v>339</v>
      </c>
      <c r="B31" s="262"/>
      <c r="C31" s="262"/>
      <c r="W31" s="189"/>
      <c r="X31" s="189"/>
    </row>
    <row r="32" spans="1:25" x14ac:dyDescent="0.25">
      <c r="A32" s="244" t="s">
        <v>259</v>
      </c>
      <c r="B32" s="261">
        <f>'1сел'!B22+'1сел'!B23+'1сел'!B24+'1сел'!B25+'1сел'!B26+'1сел'!B29</f>
        <v>12000</v>
      </c>
      <c r="C32" s="261">
        <f>'1сел'!C22+'1сел'!C23+'1сел'!C24+'1сел'!C25+'1сел'!C26+'1сел'!C29</f>
        <v>3072</v>
      </c>
      <c r="D32" s="261">
        <f>'1сел'!D22+'1сел'!D23+'1сел'!D24+'1сел'!D25+'1сел'!D26+'1сел'!D29</f>
        <v>4397</v>
      </c>
      <c r="E32" s="261">
        <f>'1сел'!E22+'1сел'!E23+'1сел'!E24+'1сел'!E25+'1сел'!E26+'1сел'!E29</f>
        <v>4397</v>
      </c>
      <c r="F32" s="261">
        <f>'1сел'!F22+'1сел'!F23+'1сел'!F24+'1сел'!F25+'1сел'!F26+'1сел'!F29</f>
        <v>56</v>
      </c>
      <c r="G32" s="261">
        <f>'1сел'!G22+'1сел'!G23+'1сел'!G24+'1сел'!G25+'1сел'!G26+'1сел'!G29</f>
        <v>6.3</v>
      </c>
      <c r="H32" s="261">
        <f>'1сел'!H22+'1сел'!H23+'1сел'!H24+'1сел'!H25+'1сел'!H26+'1сел'!H29</f>
        <v>0</v>
      </c>
      <c r="I32" s="261">
        <f>'1сел'!I22+'1сел'!I23+'1сел'!I24+'1сел'!I25+'1сел'!I26+'1сел'!I29</f>
        <v>0</v>
      </c>
      <c r="J32" s="261">
        <f>'1сел'!J22+'1сел'!J23+'1сел'!J24+'1сел'!J25+'1сел'!J26+'1сел'!J29</f>
        <v>2040</v>
      </c>
      <c r="K32" s="261">
        <f>'1сел'!K22+'1сел'!K23+'1сел'!K24+'1сел'!K25+'1сел'!K26+'1сел'!K29</f>
        <v>0</v>
      </c>
      <c r="L32" s="261">
        <f>'1сел'!L22+'1сел'!L23+'1сел'!L24+'1сел'!L25+'1сел'!L26+'1сел'!L29</f>
        <v>0</v>
      </c>
      <c r="M32" s="261">
        <f>'1сел'!M22+'1сел'!M23+'1сел'!M24+'1сел'!M25+'1сел'!M26+'1сел'!M29</f>
        <v>2040</v>
      </c>
      <c r="N32" s="261">
        <f>'1сел'!N22+'1сел'!N23+'1сел'!N24+'1сел'!N25+'1сел'!N26+'1сел'!N29</f>
        <v>0</v>
      </c>
      <c r="O32" s="261">
        <f>'1сел'!O22+'1сел'!O23+'1сел'!O24+'1сел'!O25+'1сел'!O26+'1сел'!O29</f>
        <v>0</v>
      </c>
      <c r="P32" s="261">
        <f>'1сел'!P22+'1сел'!P23+'1сел'!P24+'1сел'!P25+'1сел'!P26+'1сел'!P29</f>
        <v>2040</v>
      </c>
      <c r="Q32" s="261">
        <f>'1сел'!Q22+'1сел'!Q23+'1сел'!Q24+'1сел'!Q25+'1сел'!Q26+'1сел'!Q29</f>
        <v>0</v>
      </c>
      <c r="R32" s="261">
        <f>'1сел'!R22+'1сел'!R23+'1сел'!R24+'1сел'!R25+'1сел'!R26+'1сел'!R29</f>
        <v>0</v>
      </c>
      <c r="S32" s="261">
        <f>'1сел'!S22+'1сел'!S23+'1сел'!S24+'1сел'!S25+'1сел'!S26+'1сел'!S29</f>
        <v>2040</v>
      </c>
      <c r="T32" s="261">
        <f>'1сел'!T22+'1сел'!T23+'1сел'!T24+'1сел'!T25+'1сел'!T26+'1сел'!T29</f>
        <v>0</v>
      </c>
      <c r="U32" s="261">
        <f>'1сел'!U22+'1сел'!U23+'1сел'!U24+'1сел'!U25+'1сел'!U26+'1сел'!U29</f>
        <v>0</v>
      </c>
      <c r="V32" s="261">
        <f>'1сел'!V22+'1сел'!V23+'1сел'!V24+'1сел'!V25+'1сел'!V26+'1сел'!V29</f>
        <v>0</v>
      </c>
      <c r="W32" s="189">
        <f t="shared" ref="W32:W46" si="12">SUM(B32:V32)</f>
        <v>32088.3</v>
      </c>
      <c r="X32" s="189">
        <f>NPV('1сел'!$X$1,B32:V32)</f>
        <v>29238.853161289477</v>
      </c>
    </row>
    <row r="33" spans="1:25" x14ac:dyDescent="0.25">
      <c r="A33" s="244" t="s">
        <v>261</v>
      </c>
      <c r="B33" s="58">
        <f>('3товар'!B15+'3товар'!B16*$J$1)*1000</f>
        <v>735370.21295061102</v>
      </c>
      <c r="C33" s="58">
        <f>('3товар'!C15+'3товар'!C16*$J$1)*1000</f>
        <v>735370.21295061102</v>
      </c>
      <c r="D33" s="58">
        <f>('3товар'!D15+'3товар'!D16*$J$1)*1000</f>
        <v>735370.21295061102</v>
      </c>
      <c r="E33" s="58">
        <f>('3товар'!E15+'3товар'!E16*$J$1)*1000</f>
        <v>735370.21295061102</v>
      </c>
      <c r="F33" s="58">
        <f>('3товар'!F15+'3товар'!F16*$J$1)*1000</f>
        <v>735370.21295061102</v>
      </c>
      <c r="G33" s="58">
        <f>('3товар'!G15+'3товар'!G16*$J$1)*1000</f>
        <v>735370.21295061102</v>
      </c>
      <c r="H33" s="58">
        <f>('3товар'!H15+'3товар'!H16*$J$1)*1000</f>
        <v>735370.21295061102</v>
      </c>
      <c r="I33" s="58">
        <f>('3товар'!I15+'3товар'!I16*$J$1)*1000</f>
        <v>735370.21295061102</v>
      </c>
      <c r="J33" s="58">
        <f>('3товар'!J15+'3товар'!J16*$J$1)*1000</f>
        <v>735370.21295061102</v>
      </c>
      <c r="K33" s="58">
        <f>('3товар'!K15+'3товар'!K16*$J$1)*1000</f>
        <v>684370.21295061102</v>
      </c>
      <c r="L33" s="58">
        <f>('3товар'!L15+'3товар'!L16*$J$1)*1000</f>
        <v>684370.21295061102</v>
      </c>
      <c r="M33" s="58">
        <f>('3товар'!M15+'3товар'!M16*$J$1)*1000</f>
        <v>684370.21295061102</v>
      </c>
      <c r="N33" s="58">
        <f>('3товар'!N15+'3товар'!N16*$J$1)*1000</f>
        <v>684370.21295061102</v>
      </c>
      <c r="O33" s="58">
        <f>('3товар'!O15+'3товар'!O16*$J$1)*1000</f>
        <v>684370.21295061102</v>
      </c>
      <c r="P33" s="58">
        <f>('3товар'!P15+'3товар'!P16*$J$1)*1000</f>
        <v>684370.21295061102</v>
      </c>
      <c r="Q33" s="58">
        <f>('3товар'!Q15+'3товар'!Q16*$J$1)*1000</f>
        <v>684370.21295061102</v>
      </c>
      <c r="R33" s="58">
        <f>('3товар'!R15+'3товар'!R16*$J$1)*1000</f>
        <v>684370.21295061102</v>
      </c>
      <c r="S33" s="58">
        <f>('3товар'!S15+'3товар'!S16*$J$1)*1000</f>
        <v>684370.21295061102</v>
      </c>
      <c r="T33" s="58">
        <f>('3товар'!T15+'3товар'!T16*$J$1)*1000</f>
        <v>684370.21295061102</v>
      </c>
      <c r="U33" s="58">
        <f>('3товар'!U15+'3товар'!U16*$J$1)*1000</f>
        <v>684370.21295061102</v>
      </c>
      <c r="V33" s="58">
        <f>('3товар'!V15+'3товар'!V16*$J$1)*1000</f>
        <v>684370.21295061102</v>
      </c>
      <c r="W33" s="189">
        <f t="shared" si="12"/>
        <v>14830774.471962838</v>
      </c>
      <c r="X33" s="189">
        <f>NPV('1сел'!$X$1,B33:V33)</f>
        <v>12058238.908338699</v>
      </c>
    </row>
    <row r="34" spans="1:25" s="147" customFormat="1" x14ac:dyDescent="0.25">
      <c r="A34" s="268" t="s">
        <v>260</v>
      </c>
      <c r="B34" s="269">
        <f>'2сем'!B29</f>
        <v>0</v>
      </c>
      <c r="C34" s="269">
        <f>'2сем'!C29</f>
        <v>0</v>
      </c>
      <c r="D34" s="269">
        <f>'2сем'!D29</f>
        <v>0</v>
      </c>
      <c r="E34" s="269">
        <f>'2сем'!E29</f>
        <v>0</v>
      </c>
      <c r="F34" s="269">
        <f>'2сем'!F29</f>
        <v>0</v>
      </c>
      <c r="G34" s="269">
        <f>'2сем'!G29</f>
        <v>0</v>
      </c>
      <c r="H34" s="269">
        <f>'2сем'!H29</f>
        <v>0</v>
      </c>
      <c r="I34" s="269">
        <f>'2сем'!I29</f>
        <v>800.00000000000011</v>
      </c>
      <c r="J34" s="269">
        <f>'2сем'!J29</f>
        <v>800.00000000000011</v>
      </c>
      <c r="K34" s="269">
        <f>'2сем'!K29</f>
        <v>0</v>
      </c>
      <c r="L34" s="269">
        <f>'2сем'!L29</f>
        <v>800.00000000000011</v>
      </c>
      <c r="M34" s="269">
        <f>'2сем'!M29</f>
        <v>800.00000000000011</v>
      </c>
      <c r="N34" s="269">
        <f>'2сем'!N29</f>
        <v>0</v>
      </c>
      <c r="O34" s="269">
        <f>'2сем'!O29</f>
        <v>800.00000000000011</v>
      </c>
      <c r="P34" s="269">
        <f>'2сем'!P29</f>
        <v>800.00000000000011</v>
      </c>
      <c r="Q34" s="269">
        <f>'2сем'!Q29</f>
        <v>0</v>
      </c>
      <c r="R34" s="269">
        <f>'2сем'!R29</f>
        <v>800.00000000000011</v>
      </c>
      <c r="S34" s="269">
        <f>'2сем'!S29</f>
        <v>800.00000000000011</v>
      </c>
      <c r="T34" s="269">
        <f>'2сем'!T29</f>
        <v>0</v>
      </c>
      <c r="U34" s="269">
        <f>'2сем'!U29</f>
        <v>0</v>
      </c>
      <c r="V34" s="269">
        <f>'2сем'!V29</f>
        <v>0</v>
      </c>
      <c r="W34" s="270">
        <f t="shared" si="12"/>
        <v>6400.0000000000009</v>
      </c>
      <c r="X34" s="270">
        <f>NPV('1сел'!$X$1,B34:V34)</f>
        <v>4958.5708349960669</v>
      </c>
      <c r="Y34" s="145"/>
    </row>
    <row r="35" spans="1:25" x14ac:dyDescent="0.25">
      <c r="A35" s="40" t="s">
        <v>263</v>
      </c>
      <c r="B35" s="40">
        <f>SUM(B32:B34)</f>
        <v>747370.21295061102</v>
      </c>
      <c r="C35" s="40">
        <f t="shared" ref="C35:V35" si="13">SUM(C32:C34)</f>
        <v>738442.21295061102</v>
      </c>
      <c r="D35" s="40">
        <f t="shared" si="13"/>
        <v>739767.21295061102</v>
      </c>
      <c r="E35" s="40">
        <f t="shared" si="13"/>
        <v>739767.21295061102</v>
      </c>
      <c r="F35" s="40">
        <f t="shared" si="13"/>
        <v>735426.21295061102</v>
      </c>
      <c r="G35" s="40">
        <f t="shared" si="13"/>
        <v>735376.51295061107</v>
      </c>
      <c r="H35" s="40">
        <f t="shared" si="13"/>
        <v>735370.21295061102</v>
      </c>
      <c r="I35" s="40">
        <f t="shared" si="13"/>
        <v>736170.21295061102</v>
      </c>
      <c r="J35" s="40">
        <f t="shared" si="13"/>
        <v>738210.21295061102</v>
      </c>
      <c r="K35" s="40">
        <f t="shared" si="13"/>
        <v>684370.21295061102</v>
      </c>
      <c r="L35" s="40">
        <f t="shared" si="13"/>
        <v>685170.21295061102</v>
      </c>
      <c r="M35" s="40">
        <f t="shared" si="13"/>
        <v>687210.21295061102</v>
      </c>
      <c r="N35" s="40">
        <f t="shared" si="13"/>
        <v>684370.21295061102</v>
      </c>
      <c r="O35" s="40">
        <f t="shared" si="13"/>
        <v>685170.21295061102</v>
      </c>
      <c r="P35" s="40">
        <f t="shared" si="13"/>
        <v>687210.21295061102</v>
      </c>
      <c r="Q35" s="40">
        <f t="shared" si="13"/>
        <v>684370.21295061102</v>
      </c>
      <c r="R35" s="40">
        <f t="shared" si="13"/>
        <v>685170.21295061102</v>
      </c>
      <c r="S35" s="40">
        <f t="shared" si="13"/>
        <v>687210.21295061102</v>
      </c>
      <c r="T35" s="40">
        <f t="shared" si="13"/>
        <v>684370.21295061102</v>
      </c>
      <c r="U35" s="40">
        <f t="shared" si="13"/>
        <v>684370.21295061102</v>
      </c>
      <c r="V35" s="40">
        <f t="shared" si="13"/>
        <v>684370.21295061102</v>
      </c>
      <c r="W35" s="189">
        <f t="shared" si="12"/>
        <v>14869262.771962838</v>
      </c>
      <c r="X35" s="189">
        <f>NPV('1сел'!$X$1,B35:V35)</f>
        <v>12092436.332334986</v>
      </c>
    </row>
    <row r="36" spans="1:25" x14ac:dyDescent="0.25">
      <c r="A36" s="201" t="s">
        <v>341</v>
      </c>
      <c r="W36" s="189">
        <f t="shared" si="12"/>
        <v>0</v>
      </c>
      <c r="X36" s="189">
        <f>NPV('1сел'!$X$1,B36:V36)</f>
        <v>0</v>
      </c>
    </row>
    <row r="37" spans="1:25" x14ac:dyDescent="0.25">
      <c r="A37" s="191" t="s">
        <v>265</v>
      </c>
      <c r="B37" s="215">
        <f>'1сел'!B30</f>
        <v>0</v>
      </c>
      <c r="C37" s="215">
        <f>'1сел'!C30</f>
        <v>0</v>
      </c>
      <c r="D37" s="215">
        <f>'1сел'!D30</f>
        <v>0</v>
      </c>
      <c r="E37" s="215">
        <f>'1сел'!E30</f>
        <v>0</v>
      </c>
      <c r="F37" s="215">
        <f>'1сел'!F30</f>
        <v>0</v>
      </c>
      <c r="G37" s="215">
        <f>'1сел'!G30</f>
        <v>0</v>
      </c>
      <c r="H37" s="215">
        <f>'1сел'!H30</f>
        <v>0</v>
      </c>
      <c r="I37" s="215">
        <f>'1сел'!I30</f>
        <v>0</v>
      </c>
      <c r="J37" s="215">
        <f>'1сел'!J30</f>
        <v>0</v>
      </c>
      <c r="K37" s="215">
        <f>'1сел'!K30</f>
        <v>8500</v>
      </c>
      <c r="L37" s="215">
        <f>'1сел'!L30</f>
        <v>8500</v>
      </c>
      <c r="M37" s="215">
        <f>'1сел'!M30</f>
        <v>8500</v>
      </c>
      <c r="N37" s="215">
        <f>'1сел'!N30</f>
        <v>8500</v>
      </c>
      <c r="O37" s="215">
        <f>'1сел'!O30</f>
        <v>8500</v>
      </c>
      <c r="P37" s="215">
        <f>'1сел'!P30</f>
        <v>8500</v>
      </c>
      <c r="Q37" s="215">
        <f>'1сел'!Q30</f>
        <v>8500</v>
      </c>
      <c r="R37" s="215">
        <f>'1сел'!R30</f>
        <v>8500</v>
      </c>
      <c r="S37" s="215">
        <f>'1сел'!S30</f>
        <v>8500</v>
      </c>
      <c r="T37" s="215">
        <f>'1сел'!T30</f>
        <v>8500</v>
      </c>
      <c r="U37" s="215">
        <f>'1сел'!U30</f>
        <v>8500</v>
      </c>
      <c r="V37" s="215">
        <f>'1сел'!V30</f>
        <v>8500</v>
      </c>
      <c r="W37" s="189">
        <f t="shared" si="12"/>
        <v>102000</v>
      </c>
      <c r="X37" s="189">
        <f>NPV('1сел'!$X$1,B37:V37)</f>
        <v>75216.265867522423</v>
      </c>
    </row>
    <row r="38" spans="1:25" x14ac:dyDescent="0.25">
      <c r="A38" s="191" t="s">
        <v>267</v>
      </c>
      <c r="B38" s="245">
        <f>'3товар'!B17*1000*$J$1</f>
        <v>2165409.4201330259</v>
      </c>
      <c r="C38" s="245">
        <f>'3товар'!C17*1000*$J$1</f>
        <v>2165409.4201330259</v>
      </c>
      <c r="D38" s="245">
        <f>'3товар'!D17*1000*$J$1</f>
        <v>2165409.4201330259</v>
      </c>
      <c r="E38" s="245">
        <f>'3товар'!E17*1000*$J$1</f>
        <v>2165409.4201330259</v>
      </c>
      <c r="F38" s="245">
        <f>'3товар'!F17*1000*$J$1</f>
        <v>2165409.4201330259</v>
      </c>
      <c r="G38" s="245">
        <f>'3товар'!G17*1000*$J$1</f>
        <v>2165409.4201330259</v>
      </c>
      <c r="H38" s="245">
        <f>'3товар'!H17*1000*$J$1</f>
        <v>2165409.4201330259</v>
      </c>
      <c r="I38" s="245">
        <f>'3товар'!I17*1000*$J$1</f>
        <v>2165409.4201330259</v>
      </c>
      <c r="J38" s="245">
        <f>'3товар'!J17*1000*$J$1</f>
        <v>2165409.4201330259</v>
      </c>
      <c r="K38" s="245">
        <f>'3товар'!K17*1000*$J$1</f>
        <v>2165409.4201330259</v>
      </c>
      <c r="L38" s="245">
        <f>'3товар'!L17*1000*$J$1</f>
        <v>2165409.4201330259</v>
      </c>
      <c r="M38" s="245">
        <f>'3товар'!M17*1000*$J$1</f>
        <v>2165409.4201330259</v>
      </c>
      <c r="N38" s="245">
        <f>'3товар'!N17*1000*$J$1</f>
        <v>2165409.4201330259</v>
      </c>
      <c r="O38" s="245">
        <f>'3товар'!O17*1000*$J$1</f>
        <v>2165409.4201330259</v>
      </c>
      <c r="P38" s="245">
        <f>'3товар'!P17*1000*$J$1</f>
        <v>2165409.4201330259</v>
      </c>
      <c r="Q38" s="245">
        <f>'3товар'!Q17*1000*$J$1</f>
        <v>2165409.4201330259</v>
      </c>
      <c r="R38" s="245">
        <f>'3товар'!R17*1000*$J$1</f>
        <v>2165409.4201330259</v>
      </c>
      <c r="S38" s="245">
        <f>'3товар'!S17*1000*$J$1</f>
        <v>2165409.4201330259</v>
      </c>
      <c r="T38" s="245">
        <f>'3товар'!T17*1000*$J$1</f>
        <v>2165409.4201330259</v>
      </c>
      <c r="U38" s="245">
        <f>'3товар'!U17*1000*$J$1</f>
        <v>2165409.4201330259</v>
      </c>
      <c r="V38" s="245">
        <f>'3товар'!V17*1000*$J$1</f>
        <v>2165409.4201330259</v>
      </c>
      <c r="W38" s="189">
        <f t="shared" si="12"/>
        <v>45473597.822793528</v>
      </c>
      <c r="X38" s="189">
        <f>NPV('1сел'!$X$1,B38:V38)</f>
        <v>36836232.565883227</v>
      </c>
    </row>
    <row r="39" spans="1:25" s="145" customFormat="1" x14ac:dyDescent="0.25">
      <c r="A39" s="267" t="s">
        <v>266</v>
      </c>
      <c r="B39" s="271">
        <f>'2сем'!B30</f>
        <v>0</v>
      </c>
      <c r="C39" s="271">
        <f>'2сем'!C30</f>
        <v>0</v>
      </c>
      <c r="D39" s="271">
        <f>'2сем'!D30</f>
        <v>0</v>
      </c>
      <c r="E39" s="271">
        <f>'2сем'!E30</f>
        <v>0</v>
      </c>
      <c r="F39" s="271">
        <f>'2сем'!F30</f>
        <v>0</v>
      </c>
      <c r="G39" s="271">
        <f>'2сем'!G30</f>
        <v>0</v>
      </c>
      <c r="H39" s="271">
        <f>'2сем'!H30</f>
        <v>0</v>
      </c>
      <c r="I39" s="271">
        <f>'2сем'!I30</f>
        <v>0</v>
      </c>
      <c r="J39" s="271">
        <f>'2сем'!J30</f>
        <v>2040</v>
      </c>
      <c r="K39" s="271">
        <f>'2сем'!K30</f>
        <v>0</v>
      </c>
      <c r="L39" s="271">
        <f>'2сем'!L30</f>
        <v>0</v>
      </c>
      <c r="M39" s="271">
        <f>'2сем'!M30</f>
        <v>2040</v>
      </c>
      <c r="N39" s="271">
        <f>'2сем'!N30</f>
        <v>0</v>
      </c>
      <c r="O39" s="271">
        <f>'2сем'!O30</f>
        <v>0</v>
      </c>
      <c r="P39" s="271">
        <f>'2сем'!P30</f>
        <v>2040</v>
      </c>
      <c r="Q39" s="271">
        <f>'2сем'!Q30</f>
        <v>0</v>
      </c>
      <c r="R39" s="271">
        <f>'2сем'!R30</f>
        <v>0</v>
      </c>
      <c r="S39" s="271">
        <f>'2сем'!S30</f>
        <v>2040</v>
      </c>
      <c r="T39" s="271">
        <f>'2сем'!T30</f>
        <v>0</v>
      </c>
      <c r="U39" s="271">
        <f>'2сем'!U30</f>
        <v>0</v>
      </c>
      <c r="V39" s="271">
        <f>'2сем'!V30</f>
        <v>0</v>
      </c>
      <c r="W39" s="270">
        <f t="shared" si="12"/>
        <v>8160</v>
      </c>
      <c r="X39" s="270">
        <f>NPV('1сел'!$X$1,B39:V39)</f>
        <v>6259.5819946732508</v>
      </c>
    </row>
    <row r="40" spans="1:25" x14ac:dyDescent="0.25">
      <c r="A40" s="194" t="s">
        <v>263</v>
      </c>
      <c r="B40" s="194">
        <f>SUM(B37:B39)</f>
        <v>2165409.4201330259</v>
      </c>
      <c r="C40" s="194">
        <f t="shared" ref="C40:V40" si="14">SUM(C37:C39)</f>
        <v>2165409.4201330259</v>
      </c>
      <c r="D40" s="194">
        <f t="shared" si="14"/>
        <v>2165409.4201330259</v>
      </c>
      <c r="E40" s="194">
        <f t="shared" si="14"/>
        <v>2165409.4201330259</v>
      </c>
      <c r="F40" s="194">
        <f t="shared" si="14"/>
        <v>2165409.4201330259</v>
      </c>
      <c r="G40" s="194">
        <f t="shared" si="14"/>
        <v>2165409.4201330259</v>
      </c>
      <c r="H40" s="194">
        <f t="shared" si="14"/>
        <v>2165409.4201330259</v>
      </c>
      <c r="I40" s="194">
        <f t="shared" si="14"/>
        <v>2165409.4201330259</v>
      </c>
      <c r="J40" s="194">
        <f t="shared" si="14"/>
        <v>2167449.4201330259</v>
      </c>
      <c r="K40" s="194">
        <f t="shared" si="14"/>
        <v>2173909.4201330259</v>
      </c>
      <c r="L40" s="194">
        <f t="shared" si="14"/>
        <v>2173909.4201330259</v>
      </c>
      <c r="M40" s="194">
        <f t="shared" si="14"/>
        <v>2175949.4201330259</v>
      </c>
      <c r="N40" s="194">
        <f t="shared" si="14"/>
        <v>2173909.4201330259</v>
      </c>
      <c r="O40" s="194">
        <f t="shared" si="14"/>
        <v>2173909.4201330259</v>
      </c>
      <c r="P40" s="194">
        <f t="shared" si="14"/>
        <v>2175949.4201330259</v>
      </c>
      <c r="Q40" s="194">
        <f t="shared" si="14"/>
        <v>2173909.4201330259</v>
      </c>
      <c r="R40" s="194">
        <f t="shared" si="14"/>
        <v>2173909.4201330259</v>
      </c>
      <c r="S40" s="194">
        <f t="shared" si="14"/>
        <v>2175949.4201330259</v>
      </c>
      <c r="T40" s="194">
        <f t="shared" si="14"/>
        <v>2173909.4201330259</v>
      </c>
      <c r="U40" s="194">
        <f t="shared" si="14"/>
        <v>2173909.4201330259</v>
      </c>
      <c r="V40" s="194">
        <f t="shared" si="14"/>
        <v>2173909.4201330259</v>
      </c>
      <c r="W40" s="189">
        <f t="shared" si="12"/>
        <v>45583757.822793528</v>
      </c>
      <c r="X40" s="189">
        <f>NPV('1сел'!$X$1,B40:V40)</f>
        <v>36917708.413745411</v>
      </c>
    </row>
    <row r="41" spans="1:25" x14ac:dyDescent="0.25">
      <c r="A41" s="48" t="s">
        <v>268</v>
      </c>
      <c r="B41" s="37">
        <f>B37-B32</f>
        <v>-12000</v>
      </c>
      <c r="C41" s="37">
        <f t="shared" ref="C41:V43" si="15">C37-C32</f>
        <v>-3072</v>
      </c>
      <c r="D41" s="37">
        <f t="shared" si="15"/>
        <v>-4397</v>
      </c>
      <c r="E41" s="37">
        <f t="shared" si="15"/>
        <v>-4397</v>
      </c>
      <c r="F41" s="37">
        <f t="shared" si="15"/>
        <v>-56</v>
      </c>
      <c r="G41" s="37">
        <f t="shared" si="15"/>
        <v>-6.3</v>
      </c>
      <c r="H41" s="37">
        <f t="shared" si="15"/>
        <v>0</v>
      </c>
      <c r="I41" s="37">
        <f t="shared" si="15"/>
        <v>0</v>
      </c>
      <c r="J41" s="37">
        <f t="shared" si="15"/>
        <v>-2040</v>
      </c>
      <c r="K41" s="37">
        <f t="shared" si="15"/>
        <v>8500</v>
      </c>
      <c r="L41" s="37">
        <f t="shared" si="15"/>
        <v>8500</v>
      </c>
      <c r="M41" s="37">
        <f t="shared" si="15"/>
        <v>6460</v>
      </c>
      <c r="N41" s="37">
        <f t="shared" si="15"/>
        <v>8500</v>
      </c>
      <c r="O41" s="37">
        <f t="shared" si="15"/>
        <v>8500</v>
      </c>
      <c r="P41" s="37">
        <f t="shared" si="15"/>
        <v>6460</v>
      </c>
      <c r="Q41" s="37">
        <f t="shared" si="15"/>
        <v>8500</v>
      </c>
      <c r="R41" s="37">
        <f t="shared" si="15"/>
        <v>8500</v>
      </c>
      <c r="S41" s="37">
        <f t="shared" si="15"/>
        <v>6460</v>
      </c>
      <c r="T41" s="37">
        <f t="shared" si="15"/>
        <v>8500</v>
      </c>
      <c r="U41" s="37">
        <f t="shared" si="15"/>
        <v>8500</v>
      </c>
      <c r="V41" s="37">
        <f t="shared" si="15"/>
        <v>8500</v>
      </c>
      <c r="W41" s="189">
        <f t="shared" si="12"/>
        <v>69911.7</v>
      </c>
      <c r="X41" s="189">
        <f>NPV('1сел'!$X$1,B41:V41)</f>
        <v>45977.41270623295</v>
      </c>
    </row>
    <row r="42" spans="1:25" x14ac:dyDescent="0.25">
      <c r="A42" s="245" t="s">
        <v>269</v>
      </c>
      <c r="B42" s="245">
        <f>B38-B33</f>
        <v>1430039.2071824148</v>
      </c>
      <c r="C42" s="245">
        <f t="shared" si="15"/>
        <v>1430039.2071824148</v>
      </c>
      <c r="D42" s="245">
        <f t="shared" si="15"/>
        <v>1430039.2071824148</v>
      </c>
      <c r="E42" s="245">
        <f t="shared" si="15"/>
        <v>1430039.2071824148</v>
      </c>
      <c r="F42" s="245">
        <f t="shared" si="15"/>
        <v>1430039.2071824148</v>
      </c>
      <c r="G42" s="245">
        <f t="shared" si="15"/>
        <v>1430039.2071824148</v>
      </c>
      <c r="H42" s="245">
        <f t="shared" si="15"/>
        <v>1430039.2071824148</v>
      </c>
      <c r="I42" s="245">
        <f t="shared" si="15"/>
        <v>1430039.2071824148</v>
      </c>
      <c r="J42" s="245">
        <f t="shared" si="15"/>
        <v>1430039.2071824148</v>
      </c>
      <c r="K42" s="245">
        <f t="shared" si="15"/>
        <v>1481039.2071824148</v>
      </c>
      <c r="L42" s="245">
        <f t="shared" si="15"/>
        <v>1481039.2071824148</v>
      </c>
      <c r="M42" s="245">
        <f t="shared" si="15"/>
        <v>1481039.2071824148</v>
      </c>
      <c r="N42" s="245">
        <f t="shared" si="15"/>
        <v>1481039.2071824148</v>
      </c>
      <c r="O42" s="245">
        <f t="shared" si="15"/>
        <v>1481039.2071824148</v>
      </c>
      <c r="P42" s="245">
        <f t="shared" si="15"/>
        <v>1481039.2071824148</v>
      </c>
      <c r="Q42" s="245">
        <f t="shared" si="15"/>
        <v>1481039.2071824148</v>
      </c>
      <c r="R42" s="245">
        <f t="shared" si="15"/>
        <v>1481039.2071824148</v>
      </c>
      <c r="S42" s="245">
        <f t="shared" si="15"/>
        <v>1481039.2071824148</v>
      </c>
      <c r="T42" s="245">
        <f t="shared" si="15"/>
        <v>1481039.2071824148</v>
      </c>
      <c r="U42" s="245">
        <f t="shared" si="15"/>
        <v>1481039.2071824148</v>
      </c>
      <c r="V42" s="245">
        <f t="shared" si="15"/>
        <v>1481039.2071824148</v>
      </c>
      <c r="W42" s="189">
        <f t="shared" si="12"/>
        <v>30642823.350830711</v>
      </c>
      <c r="X42" s="189">
        <f>NPV('1сел'!$X$1,B42:V42)</f>
        <v>24777993.657544512</v>
      </c>
    </row>
    <row r="43" spans="1:25" s="147" customFormat="1" x14ac:dyDescent="0.25">
      <c r="A43" s="272" t="s">
        <v>270</v>
      </c>
      <c r="B43" s="273">
        <f>B39-B34</f>
        <v>0</v>
      </c>
      <c r="C43" s="273">
        <f t="shared" si="15"/>
        <v>0</v>
      </c>
      <c r="D43" s="273">
        <f t="shared" si="15"/>
        <v>0</v>
      </c>
      <c r="E43" s="273">
        <f t="shared" si="15"/>
        <v>0</v>
      </c>
      <c r="F43" s="273">
        <f t="shared" si="15"/>
        <v>0</v>
      </c>
      <c r="G43" s="273">
        <f t="shared" si="15"/>
        <v>0</v>
      </c>
      <c r="H43" s="273">
        <f t="shared" si="15"/>
        <v>0</v>
      </c>
      <c r="I43" s="273">
        <f t="shared" si="15"/>
        <v>-800.00000000000011</v>
      </c>
      <c r="J43" s="273">
        <f t="shared" si="15"/>
        <v>1240</v>
      </c>
      <c r="K43" s="273">
        <f t="shared" si="15"/>
        <v>0</v>
      </c>
      <c r="L43" s="273">
        <f t="shared" si="15"/>
        <v>-800.00000000000011</v>
      </c>
      <c r="M43" s="273">
        <f t="shared" si="15"/>
        <v>1240</v>
      </c>
      <c r="N43" s="273">
        <f t="shared" si="15"/>
        <v>0</v>
      </c>
      <c r="O43" s="273">
        <f t="shared" si="15"/>
        <v>-800.00000000000011</v>
      </c>
      <c r="P43" s="273">
        <f t="shared" si="15"/>
        <v>1240</v>
      </c>
      <c r="Q43" s="273">
        <f t="shared" si="15"/>
        <v>0</v>
      </c>
      <c r="R43" s="273">
        <f t="shared" si="15"/>
        <v>-800.00000000000011</v>
      </c>
      <c r="S43" s="273">
        <f t="shared" si="15"/>
        <v>1240</v>
      </c>
      <c r="T43" s="273">
        <f t="shared" si="15"/>
        <v>0</v>
      </c>
      <c r="U43" s="273">
        <f t="shared" si="15"/>
        <v>0</v>
      </c>
      <c r="V43" s="273">
        <f t="shared" si="15"/>
        <v>0</v>
      </c>
      <c r="W43" s="270">
        <f t="shared" si="12"/>
        <v>1759.9999999999995</v>
      </c>
      <c r="X43" s="270">
        <f>NPV('1сел'!$X$1,B43:V43)</f>
        <v>1301.0111596771853</v>
      </c>
      <c r="Y43" s="145"/>
    </row>
    <row r="44" spans="1:25" x14ac:dyDescent="0.25">
      <c r="A44" s="48" t="s">
        <v>271</v>
      </c>
      <c r="B44" s="37">
        <f>SUM(B41:B43)</f>
        <v>1418039.2071824148</v>
      </c>
      <c r="C44" s="37">
        <f t="shared" ref="C44:V44" si="16">SUM(C41:C43)</f>
        <v>1426967.2071824148</v>
      </c>
      <c r="D44" s="37">
        <f t="shared" si="16"/>
        <v>1425642.2071824148</v>
      </c>
      <c r="E44" s="37">
        <f t="shared" si="16"/>
        <v>1425642.2071824148</v>
      </c>
      <c r="F44" s="37">
        <f t="shared" si="16"/>
        <v>1429983.2071824148</v>
      </c>
      <c r="G44" s="37">
        <f t="shared" si="16"/>
        <v>1430032.9071824148</v>
      </c>
      <c r="H44" s="37">
        <f t="shared" si="16"/>
        <v>1430039.2071824148</v>
      </c>
      <c r="I44" s="37">
        <f t="shared" si="16"/>
        <v>1429239.2071824148</v>
      </c>
      <c r="J44" s="37">
        <f>SUM(J41:J43)</f>
        <v>1429239.2071824148</v>
      </c>
      <c r="K44" s="37">
        <f t="shared" si="16"/>
        <v>1489539.2071824148</v>
      </c>
      <c r="L44" s="37">
        <f t="shared" si="16"/>
        <v>1488739.2071824148</v>
      </c>
      <c r="M44" s="37">
        <f t="shared" si="16"/>
        <v>1488739.2071824148</v>
      </c>
      <c r="N44" s="37">
        <f t="shared" si="16"/>
        <v>1489539.2071824148</v>
      </c>
      <c r="O44" s="37">
        <f t="shared" si="16"/>
        <v>1488739.2071824148</v>
      </c>
      <c r="P44" s="37">
        <f t="shared" si="16"/>
        <v>1488739.2071824148</v>
      </c>
      <c r="Q44" s="37">
        <f t="shared" si="16"/>
        <v>1489539.2071824148</v>
      </c>
      <c r="R44" s="37">
        <f t="shared" si="16"/>
        <v>1488739.2071824148</v>
      </c>
      <c r="S44" s="37">
        <f t="shared" si="16"/>
        <v>1488739.2071824148</v>
      </c>
      <c r="T44" s="37">
        <f t="shared" si="16"/>
        <v>1489539.2071824148</v>
      </c>
      <c r="U44" s="37">
        <f t="shared" si="16"/>
        <v>1489539.2071824148</v>
      </c>
      <c r="V44" s="37">
        <f t="shared" si="16"/>
        <v>1489539.2071824148</v>
      </c>
      <c r="W44" s="189">
        <f t="shared" si="12"/>
        <v>30714495.050830711</v>
      </c>
      <c r="X44" s="189">
        <f>NPV('1сел'!$X$1,B44:V44)</f>
        <v>24825272.08141043</v>
      </c>
    </row>
    <row r="45" spans="1:25" x14ac:dyDescent="0.25">
      <c r="A45" s="195" t="s">
        <v>318</v>
      </c>
      <c r="B45" s="196">
        <f t="shared" ref="B45:V45" si="17">B51-B44</f>
        <v>0</v>
      </c>
      <c r="C45" s="196">
        <f t="shared" si="17"/>
        <v>0</v>
      </c>
      <c r="D45" s="196">
        <f t="shared" si="17"/>
        <v>0</v>
      </c>
      <c r="E45" s="196">
        <f t="shared" si="17"/>
        <v>0</v>
      </c>
      <c r="F45" s="196">
        <f t="shared" si="17"/>
        <v>0</v>
      </c>
      <c r="G45" s="196">
        <f t="shared" si="17"/>
        <v>0</v>
      </c>
      <c r="H45" s="196">
        <f t="shared" si="17"/>
        <v>0</v>
      </c>
      <c r="I45" s="196">
        <f t="shared" si="17"/>
        <v>0</v>
      </c>
      <c r="J45" s="263">
        <f t="shared" si="17"/>
        <v>0</v>
      </c>
      <c r="K45" s="196">
        <f t="shared" si="17"/>
        <v>0</v>
      </c>
      <c r="L45" s="196">
        <f t="shared" si="17"/>
        <v>0</v>
      </c>
      <c r="M45" s="196">
        <f t="shared" si="17"/>
        <v>0</v>
      </c>
      <c r="N45" s="196">
        <f t="shared" si="17"/>
        <v>0</v>
      </c>
      <c r="O45" s="196">
        <f t="shared" si="17"/>
        <v>0</v>
      </c>
      <c r="P45" s="196">
        <f t="shared" si="17"/>
        <v>0</v>
      </c>
      <c r="Q45" s="196">
        <f t="shared" si="17"/>
        <v>0</v>
      </c>
      <c r="R45" s="196">
        <f t="shared" si="17"/>
        <v>0</v>
      </c>
      <c r="S45" s="196">
        <f t="shared" si="17"/>
        <v>0</v>
      </c>
      <c r="T45" s="196">
        <f t="shared" si="17"/>
        <v>0</v>
      </c>
      <c r="U45" s="196">
        <f t="shared" si="17"/>
        <v>0</v>
      </c>
      <c r="V45" s="196">
        <f t="shared" si="17"/>
        <v>0</v>
      </c>
      <c r="W45" s="189">
        <f t="shared" si="12"/>
        <v>0</v>
      </c>
      <c r="X45" s="189">
        <f>NPV('1сел'!$X$1,B45:V45)</f>
        <v>0</v>
      </c>
    </row>
    <row r="46" spans="1:25" x14ac:dyDescent="0.25">
      <c r="A46" s="48" t="s">
        <v>272</v>
      </c>
      <c r="B46" s="48">
        <f>B40-B35</f>
        <v>1418039.2071824148</v>
      </c>
      <c r="C46" s="48">
        <f t="shared" ref="C46:V46" si="18">C40-C35</f>
        <v>1426967.2071824148</v>
      </c>
      <c r="D46" s="48">
        <f t="shared" si="18"/>
        <v>1425642.2071824148</v>
      </c>
      <c r="E46" s="48">
        <f t="shared" si="18"/>
        <v>1425642.2071824148</v>
      </c>
      <c r="F46" s="48">
        <f t="shared" si="18"/>
        <v>1429983.2071824148</v>
      </c>
      <c r="G46" s="48">
        <f t="shared" si="18"/>
        <v>1430032.9071824148</v>
      </c>
      <c r="H46" s="48">
        <f t="shared" si="18"/>
        <v>1430039.2071824148</v>
      </c>
      <c r="I46" s="48">
        <f t="shared" si="18"/>
        <v>1429239.2071824148</v>
      </c>
      <c r="J46" s="48">
        <f t="shared" si="18"/>
        <v>1429239.2071824148</v>
      </c>
      <c r="K46" s="48">
        <f t="shared" si="18"/>
        <v>1489539.2071824148</v>
      </c>
      <c r="L46" s="48">
        <f t="shared" si="18"/>
        <v>1488739.2071824148</v>
      </c>
      <c r="M46" s="48">
        <f t="shared" si="18"/>
        <v>1488739.2071824148</v>
      </c>
      <c r="N46" s="48">
        <f t="shared" si="18"/>
        <v>1489539.2071824148</v>
      </c>
      <c r="O46" s="48">
        <f t="shared" si="18"/>
        <v>1488739.2071824148</v>
      </c>
      <c r="P46" s="48">
        <f t="shared" si="18"/>
        <v>1488739.2071824148</v>
      </c>
      <c r="Q46" s="48">
        <f t="shared" si="18"/>
        <v>1489539.2071824148</v>
      </c>
      <c r="R46" s="48">
        <f t="shared" si="18"/>
        <v>1488739.2071824148</v>
      </c>
      <c r="S46" s="48">
        <f t="shared" si="18"/>
        <v>1488739.2071824148</v>
      </c>
      <c r="T46" s="48">
        <f t="shared" si="18"/>
        <v>1489539.2071824148</v>
      </c>
      <c r="U46" s="48">
        <f t="shared" si="18"/>
        <v>1489539.2071824148</v>
      </c>
      <c r="V46" s="48">
        <f t="shared" si="18"/>
        <v>1489539.2071824148</v>
      </c>
      <c r="W46" s="189">
        <f t="shared" si="12"/>
        <v>30714495.050830711</v>
      </c>
      <c r="X46" s="189">
        <f>NPV('1сел'!$X$1,B46:V46)</f>
        <v>24825272.08141043</v>
      </c>
    </row>
    <row r="47" spans="1:25" x14ac:dyDescent="0.25">
      <c r="A47" s="274" t="s">
        <v>328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9"/>
      <c r="X47" s="199"/>
    </row>
    <row r="48" spans="1:25" x14ac:dyDescent="0.25">
      <c r="A48" s="39" t="s">
        <v>85</v>
      </c>
      <c r="B48" s="58">
        <f>B37-B32</f>
        <v>-12000</v>
      </c>
      <c r="C48" s="58">
        <f t="shared" ref="C48:V48" si="19">C37-C32</f>
        <v>-3072</v>
      </c>
      <c r="D48" s="58">
        <f t="shared" si="19"/>
        <v>-4397</v>
      </c>
      <c r="E48" s="58">
        <f t="shared" si="19"/>
        <v>-4397</v>
      </c>
      <c r="F48" s="58">
        <f t="shared" si="19"/>
        <v>-56</v>
      </c>
      <c r="G48" s="58">
        <f t="shared" si="19"/>
        <v>-6.3</v>
      </c>
      <c r="H48" s="58">
        <f t="shared" si="19"/>
        <v>0</v>
      </c>
      <c r="I48" s="58">
        <f t="shared" si="19"/>
        <v>0</v>
      </c>
      <c r="J48" s="58">
        <f t="shared" si="19"/>
        <v>-2040</v>
      </c>
      <c r="K48" s="58">
        <f t="shared" si="19"/>
        <v>8500</v>
      </c>
      <c r="L48" s="58">
        <f t="shared" si="19"/>
        <v>8500</v>
      </c>
      <c r="M48" s="58">
        <f t="shared" si="19"/>
        <v>6460</v>
      </c>
      <c r="N48" s="58">
        <f t="shared" si="19"/>
        <v>8500</v>
      </c>
      <c r="O48" s="58">
        <f t="shared" si="19"/>
        <v>8500</v>
      </c>
      <c r="P48" s="58">
        <f t="shared" si="19"/>
        <v>6460</v>
      </c>
      <c r="Q48" s="58">
        <f t="shared" si="19"/>
        <v>8500</v>
      </c>
      <c r="R48" s="58">
        <f t="shared" si="19"/>
        <v>8500</v>
      </c>
      <c r="S48" s="58">
        <f t="shared" si="19"/>
        <v>6460</v>
      </c>
      <c r="T48" s="58">
        <f t="shared" si="19"/>
        <v>8500</v>
      </c>
      <c r="U48" s="58">
        <f t="shared" si="19"/>
        <v>8500</v>
      </c>
      <c r="V48" s="58">
        <f t="shared" si="19"/>
        <v>8500</v>
      </c>
      <c r="W48" s="199">
        <f>SUM(B48:V48)</f>
        <v>69911.7</v>
      </c>
      <c r="X48" s="199">
        <f>NPV('1сел'!$X$1,B48:V48)</f>
        <v>45977.41270623295</v>
      </c>
    </row>
    <row r="49" spans="1:25" x14ac:dyDescent="0.25">
      <c r="A49" s="38" t="s">
        <v>86</v>
      </c>
      <c r="B49" s="58">
        <f>B38-B33</f>
        <v>1430039.2071824148</v>
      </c>
      <c r="C49" s="58">
        <f t="shared" ref="C49:V49" si="20">C38-C33</f>
        <v>1430039.2071824148</v>
      </c>
      <c r="D49" s="58">
        <f t="shared" si="20"/>
        <v>1430039.2071824148</v>
      </c>
      <c r="E49" s="58">
        <f t="shared" si="20"/>
        <v>1430039.2071824148</v>
      </c>
      <c r="F49" s="58">
        <f t="shared" si="20"/>
        <v>1430039.2071824148</v>
      </c>
      <c r="G49" s="58">
        <f t="shared" si="20"/>
        <v>1430039.2071824148</v>
      </c>
      <c r="H49" s="58">
        <f t="shared" si="20"/>
        <v>1430039.2071824148</v>
      </c>
      <c r="I49" s="58">
        <f t="shared" si="20"/>
        <v>1430039.2071824148</v>
      </c>
      <c r="J49" s="58">
        <f t="shared" si="20"/>
        <v>1430039.2071824148</v>
      </c>
      <c r="K49" s="58">
        <f t="shared" si="20"/>
        <v>1481039.2071824148</v>
      </c>
      <c r="L49" s="58">
        <f t="shared" si="20"/>
        <v>1481039.2071824148</v>
      </c>
      <c r="M49" s="58">
        <f t="shared" si="20"/>
        <v>1481039.2071824148</v>
      </c>
      <c r="N49" s="58">
        <f t="shared" si="20"/>
        <v>1481039.2071824148</v>
      </c>
      <c r="O49" s="58">
        <f t="shared" si="20"/>
        <v>1481039.2071824148</v>
      </c>
      <c r="P49" s="58">
        <f t="shared" si="20"/>
        <v>1481039.2071824148</v>
      </c>
      <c r="Q49" s="58">
        <f t="shared" si="20"/>
        <v>1481039.2071824148</v>
      </c>
      <c r="R49" s="58">
        <f t="shared" si="20"/>
        <v>1481039.2071824148</v>
      </c>
      <c r="S49" s="58">
        <f t="shared" si="20"/>
        <v>1481039.2071824148</v>
      </c>
      <c r="T49" s="58">
        <f t="shared" si="20"/>
        <v>1481039.2071824148</v>
      </c>
      <c r="U49" s="58">
        <f t="shared" si="20"/>
        <v>1481039.2071824148</v>
      </c>
      <c r="V49" s="58">
        <f t="shared" si="20"/>
        <v>1481039.2071824148</v>
      </c>
      <c r="W49" s="199">
        <f>SUM(B49:V49)</f>
        <v>30642823.350830711</v>
      </c>
      <c r="X49" s="199">
        <f>NPV('1сел'!$X$1,B49:V49)</f>
        <v>24777993.657544512</v>
      </c>
    </row>
    <row r="50" spans="1:25" x14ac:dyDescent="0.25">
      <c r="A50" s="38" t="s">
        <v>87</v>
      </c>
      <c r="B50" s="58">
        <f>B39-B34</f>
        <v>0</v>
      </c>
      <c r="C50" s="58">
        <f t="shared" ref="C50:V50" si="21">C39-C34</f>
        <v>0</v>
      </c>
      <c r="D50" s="58">
        <f t="shared" si="21"/>
        <v>0</v>
      </c>
      <c r="E50" s="58">
        <f t="shared" si="21"/>
        <v>0</v>
      </c>
      <c r="F50" s="58">
        <f t="shared" si="21"/>
        <v>0</v>
      </c>
      <c r="G50" s="58">
        <f t="shared" si="21"/>
        <v>0</v>
      </c>
      <c r="H50" s="58">
        <f t="shared" si="21"/>
        <v>0</v>
      </c>
      <c r="I50" s="58">
        <f t="shared" si="21"/>
        <v>-800.00000000000011</v>
      </c>
      <c r="J50" s="58">
        <f t="shared" si="21"/>
        <v>1240</v>
      </c>
      <c r="K50" s="58">
        <f t="shared" si="21"/>
        <v>0</v>
      </c>
      <c r="L50" s="58">
        <f t="shared" si="21"/>
        <v>-800.00000000000011</v>
      </c>
      <c r="M50" s="58">
        <f t="shared" si="21"/>
        <v>1240</v>
      </c>
      <c r="N50" s="58">
        <f t="shared" si="21"/>
        <v>0</v>
      </c>
      <c r="O50" s="58">
        <f t="shared" si="21"/>
        <v>-800.00000000000011</v>
      </c>
      <c r="P50" s="58">
        <f t="shared" si="21"/>
        <v>1240</v>
      </c>
      <c r="Q50" s="58">
        <f t="shared" si="21"/>
        <v>0</v>
      </c>
      <c r="R50" s="58">
        <f t="shared" si="21"/>
        <v>-800.00000000000011</v>
      </c>
      <c r="S50" s="58">
        <f t="shared" si="21"/>
        <v>1240</v>
      </c>
      <c r="T50" s="58">
        <f t="shared" si="21"/>
        <v>0</v>
      </c>
      <c r="U50" s="58">
        <f t="shared" si="21"/>
        <v>0</v>
      </c>
      <c r="V50" s="58">
        <f t="shared" si="21"/>
        <v>0</v>
      </c>
      <c r="W50" s="199">
        <f>SUM(B50:V50)</f>
        <v>1759.9999999999995</v>
      </c>
      <c r="X50" s="199">
        <f>NPV('1сел'!$X$1,B50:V50)</f>
        <v>1301.0111596771853</v>
      </c>
    </row>
    <row r="51" spans="1:25" x14ac:dyDescent="0.25">
      <c r="A51" s="95" t="s">
        <v>88</v>
      </c>
      <c r="B51" s="275">
        <f t="shared" ref="B51:V51" si="22">SUM(B48:B50)</f>
        <v>1418039.2071824148</v>
      </c>
      <c r="C51" s="275">
        <f t="shared" si="22"/>
        <v>1426967.2071824148</v>
      </c>
      <c r="D51" s="275">
        <f t="shared" si="22"/>
        <v>1425642.2071824148</v>
      </c>
      <c r="E51" s="275">
        <f t="shared" si="22"/>
        <v>1425642.2071824148</v>
      </c>
      <c r="F51" s="275">
        <f t="shared" si="22"/>
        <v>1429983.2071824148</v>
      </c>
      <c r="G51" s="275">
        <f t="shared" si="22"/>
        <v>1430032.9071824148</v>
      </c>
      <c r="H51" s="275">
        <f t="shared" si="22"/>
        <v>1430039.2071824148</v>
      </c>
      <c r="I51" s="275">
        <f t="shared" si="22"/>
        <v>1429239.2071824148</v>
      </c>
      <c r="J51" s="275">
        <f>SUM(J48:J50)</f>
        <v>1429239.2071824148</v>
      </c>
      <c r="K51" s="275">
        <f t="shared" si="22"/>
        <v>1489539.2071824148</v>
      </c>
      <c r="L51" s="275">
        <f t="shared" si="22"/>
        <v>1488739.2071824148</v>
      </c>
      <c r="M51" s="275">
        <f t="shared" si="22"/>
        <v>1488739.2071824148</v>
      </c>
      <c r="N51" s="275">
        <f t="shared" si="22"/>
        <v>1489539.2071824148</v>
      </c>
      <c r="O51" s="275">
        <f t="shared" si="22"/>
        <v>1488739.2071824148</v>
      </c>
      <c r="P51" s="275">
        <f t="shared" si="22"/>
        <v>1488739.2071824148</v>
      </c>
      <c r="Q51" s="275">
        <f t="shared" si="22"/>
        <v>1489539.2071824148</v>
      </c>
      <c r="R51" s="275">
        <f t="shared" si="22"/>
        <v>1488739.2071824148</v>
      </c>
      <c r="S51" s="275">
        <f t="shared" si="22"/>
        <v>1488739.2071824148</v>
      </c>
      <c r="T51" s="275">
        <f t="shared" si="22"/>
        <v>1489539.2071824148</v>
      </c>
      <c r="U51" s="275">
        <f t="shared" si="22"/>
        <v>1489539.2071824148</v>
      </c>
      <c r="V51" s="275">
        <f t="shared" si="22"/>
        <v>1489539.2071824148</v>
      </c>
      <c r="W51" s="199">
        <f>SUM(B51:V51)</f>
        <v>30714495.050830711</v>
      </c>
      <c r="X51" s="199">
        <f>NPV('1сел'!$X$1,B51:V51)</f>
        <v>24825272.08141043</v>
      </c>
    </row>
    <row r="52" spans="1:25" x14ac:dyDescent="0.25">
      <c r="A52" s="67" t="s">
        <v>366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199"/>
      <c r="X52" s="199"/>
    </row>
    <row r="53" spans="1:25" x14ac:dyDescent="0.25">
      <c r="A53" s="95" t="s">
        <v>329</v>
      </c>
      <c r="B53" s="275">
        <f>B48</f>
        <v>-12000</v>
      </c>
      <c r="C53" s="275">
        <f>B53+C48</f>
        <v>-15072</v>
      </c>
      <c r="D53" s="275">
        <f t="shared" ref="D53:V55" si="23">C53+D48</f>
        <v>-19469</v>
      </c>
      <c r="E53" s="275">
        <f t="shared" si="23"/>
        <v>-23866</v>
      </c>
      <c r="F53" s="275">
        <f t="shared" si="23"/>
        <v>-23922</v>
      </c>
      <c r="G53" s="275">
        <f t="shared" si="23"/>
        <v>-23928.3</v>
      </c>
      <c r="H53" s="275">
        <f t="shared" si="23"/>
        <v>-23928.3</v>
      </c>
      <c r="I53" s="275">
        <f t="shared" si="23"/>
        <v>-23928.3</v>
      </c>
      <c r="J53" s="275">
        <f t="shared" si="23"/>
        <v>-25968.3</v>
      </c>
      <c r="K53" s="275">
        <f t="shared" si="23"/>
        <v>-17468.3</v>
      </c>
      <c r="L53" s="275">
        <f t="shared" si="23"/>
        <v>-8968.2999999999993</v>
      </c>
      <c r="M53" s="275">
        <f t="shared" si="23"/>
        <v>-2508.2999999999993</v>
      </c>
      <c r="N53" s="275">
        <f t="shared" si="23"/>
        <v>5991.7000000000007</v>
      </c>
      <c r="O53" s="275">
        <f t="shared" si="23"/>
        <v>14491.7</v>
      </c>
      <c r="P53" s="275">
        <f t="shared" si="23"/>
        <v>20951.7</v>
      </c>
      <c r="Q53" s="275">
        <f t="shared" si="23"/>
        <v>29451.7</v>
      </c>
      <c r="R53" s="275">
        <f t="shared" si="23"/>
        <v>37951.699999999997</v>
      </c>
      <c r="S53" s="275">
        <f t="shared" si="23"/>
        <v>44411.7</v>
      </c>
      <c r="T53" s="275">
        <f t="shared" si="23"/>
        <v>52911.7</v>
      </c>
      <c r="U53" s="275">
        <f t="shared" si="23"/>
        <v>61411.7</v>
      </c>
      <c r="V53" s="275">
        <f t="shared" si="23"/>
        <v>69911.7</v>
      </c>
      <c r="W53" s="276" t="s">
        <v>334</v>
      </c>
      <c r="X53" s="276">
        <f>MIN(B53:V53)</f>
        <v>-25968.3</v>
      </c>
    </row>
    <row r="54" spans="1:25" x14ac:dyDescent="0.25">
      <c r="A54" s="95" t="s">
        <v>330</v>
      </c>
      <c r="B54" s="275">
        <f>B49</f>
        <v>1430039.2071824148</v>
      </c>
      <c r="C54" s="275">
        <f>B54+C49</f>
        <v>2860078.4143648297</v>
      </c>
      <c r="D54" s="275">
        <f t="shared" si="23"/>
        <v>4290117.6215472445</v>
      </c>
      <c r="E54" s="275">
        <f t="shared" si="23"/>
        <v>5720156.8287296593</v>
      </c>
      <c r="F54" s="275">
        <f t="shared" si="23"/>
        <v>7150196.0359120741</v>
      </c>
      <c r="G54" s="275">
        <f t="shared" si="23"/>
        <v>8580235.243094489</v>
      </c>
      <c r="H54" s="275">
        <f t="shared" si="23"/>
        <v>10010274.450276904</v>
      </c>
      <c r="I54" s="275">
        <f t="shared" si="23"/>
        <v>11440313.657459319</v>
      </c>
      <c r="J54" s="275">
        <f t="shared" si="23"/>
        <v>12870352.864641733</v>
      </c>
      <c r="K54" s="275">
        <f t="shared" si="23"/>
        <v>14351392.071824148</v>
      </c>
      <c r="L54" s="275">
        <f t="shared" si="23"/>
        <v>15832431.279006563</v>
      </c>
      <c r="M54" s="275">
        <f t="shared" si="23"/>
        <v>17313470.486188978</v>
      </c>
      <c r="N54" s="275">
        <f t="shared" si="23"/>
        <v>18794509.693371393</v>
      </c>
      <c r="O54" s="275">
        <f t="shared" si="23"/>
        <v>20275548.900553808</v>
      </c>
      <c r="P54" s="275">
        <f t="shared" si="23"/>
        <v>21756588.107736222</v>
      </c>
      <c r="Q54" s="275">
        <f t="shared" si="23"/>
        <v>23237627.314918637</v>
      </c>
      <c r="R54" s="275">
        <f t="shared" si="23"/>
        <v>24718666.522101052</v>
      </c>
      <c r="S54" s="275">
        <f t="shared" si="23"/>
        <v>26199705.729283467</v>
      </c>
      <c r="T54" s="275">
        <f t="shared" si="23"/>
        <v>27680744.936465882</v>
      </c>
      <c r="U54" s="275">
        <f t="shared" si="23"/>
        <v>29161784.143648297</v>
      </c>
      <c r="V54" s="275">
        <f t="shared" si="23"/>
        <v>30642823.350830711</v>
      </c>
      <c r="W54" s="276" t="s">
        <v>334</v>
      </c>
      <c r="X54" s="276">
        <f>MIN(B54:V54)</f>
        <v>1430039.2071824148</v>
      </c>
    </row>
    <row r="55" spans="1:25" x14ac:dyDescent="0.25">
      <c r="A55" s="95" t="s">
        <v>331</v>
      </c>
      <c r="B55" s="275">
        <f>B50</f>
        <v>0</v>
      </c>
      <c r="C55" s="275">
        <f>B55+C50</f>
        <v>0</v>
      </c>
      <c r="D55" s="275">
        <f t="shared" si="23"/>
        <v>0</v>
      </c>
      <c r="E55" s="275">
        <f t="shared" si="23"/>
        <v>0</v>
      </c>
      <c r="F55" s="275">
        <f t="shared" si="23"/>
        <v>0</v>
      </c>
      <c r="G55" s="275">
        <f t="shared" si="23"/>
        <v>0</v>
      </c>
      <c r="H55" s="275">
        <f t="shared" si="23"/>
        <v>0</v>
      </c>
      <c r="I55" s="275">
        <f t="shared" si="23"/>
        <v>-800.00000000000011</v>
      </c>
      <c r="J55" s="275">
        <f t="shared" si="23"/>
        <v>439.99999999999989</v>
      </c>
      <c r="K55" s="275">
        <f t="shared" si="23"/>
        <v>439.99999999999989</v>
      </c>
      <c r="L55" s="275">
        <f t="shared" si="23"/>
        <v>-360.00000000000023</v>
      </c>
      <c r="M55" s="275">
        <f t="shared" si="23"/>
        <v>879.99999999999977</v>
      </c>
      <c r="N55" s="275">
        <f t="shared" si="23"/>
        <v>879.99999999999977</v>
      </c>
      <c r="O55" s="275">
        <f t="shared" si="23"/>
        <v>79.999999999999659</v>
      </c>
      <c r="P55" s="275">
        <f t="shared" si="23"/>
        <v>1319.9999999999995</v>
      </c>
      <c r="Q55" s="275">
        <f t="shared" si="23"/>
        <v>1319.9999999999995</v>
      </c>
      <c r="R55" s="275">
        <f t="shared" si="23"/>
        <v>519.99999999999943</v>
      </c>
      <c r="S55" s="275">
        <f t="shared" si="23"/>
        <v>1759.9999999999995</v>
      </c>
      <c r="T55" s="275">
        <f t="shared" si="23"/>
        <v>1759.9999999999995</v>
      </c>
      <c r="U55" s="275">
        <f t="shared" si="23"/>
        <v>1759.9999999999995</v>
      </c>
      <c r="V55" s="275">
        <f t="shared" si="23"/>
        <v>1759.9999999999995</v>
      </c>
      <c r="W55" s="276" t="s">
        <v>334</v>
      </c>
      <c r="X55" s="276">
        <f>MIN(B55:V55)</f>
        <v>-800.00000000000011</v>
      </c>
    </row>
    <row r="56" spans="1:25" x14ac:dyDescent="0.25">
      <c r="A56" s="95" t="s">
        <v>332</v>
      </c>
      <c r="B56" s="275">
        <f>SUM(B53:B55)</f>
        <v>1418039.2071824148</v>
      </c>
      <c r="C56" s="275">
        <f>B56+SUM(C48:C50)</f>
        <v>2845006.4143648297</v>
      </c>
      <c r="D56" s="275">
        <f t="shared" ref="D56:S56" si="24">C56+SUM(D48:D50)</f>
        <v>4270648.6215472445</v>
      </c>
      <c r="E56" s="275">
        <f t="shared" si="24"/>
        <v>5696290.8287296593</v>
      </c>
      <c r="F56" s="275">
        <f t="shared" si="24"/>
        <v>7126274.0359120741</v>
      </c>
      <c r="G56" s="275">
        <f t="shared" si="24"/>
        <v>8556306.9430944882</v>
      </c>
      <c r="H56" s="275">
        <f t="shared" si="24"/>
        <v>9986346.1502769031</v>
      </c>
      <c r="I56" s="275">
        <f t="shared" si="24"/>
        <v>11415585.357459318</v>
      </c>
      <c r="J56" s="275">
        <f t="shared" si="24"/>
        <v>12844824.564641733</v>
      </c>
      <c r="K56" s="275">
        <f t="shared" si="24"/>
        <v>14334363.771824148</v>
      </c>
      <c r="L56" s="275">
        <f t="shared" si="24"/>
        <v>15823102.979006562</v>
      </c>
      <c r="M56" s="275">
        <f t="shared" si="24"/>
        <v>17311842.186188977</v>
      </c>
      <c r="N56" s="275">
        <f t="shared" si="24"/>
        <v>18801381.393371392</v>
      </c>
      <c r="O56" s="275">
        <f t="shared" si="24"/>
        <v>20290120.600553807</v>
      </c>
      <c r="P56" s="275">
        <f t="shared" si="24"/>
        <v>21778859.807736222</v>
      </c>
      <c r="Q56" s="275">
        <f t="shared" si="24"/>
        <v>23268399.014918637</v>
      </c>
      <c r="R56" s="275">
        <f t="shared" si="24"/>
        <v>24757138.222101051</v>
      </c>
      <c r="S56" s="275">
        <f t="shared" si="24"/>
        <v>26245877.429283466</v>
      </c>
      <c r="T56" s="275">
        <f>S56+SUM(T48:T50)</f>
        <v>27735416.636465881</v>
      </c>
      <c r="U56" s="275">
        <f>T56+SUM(U48:U50)</f>
        <v>29224955.843648296</v>
      </c>
      <c r="V56" s="275">
        <f>U56+SUM(V48:V50)</f>
        <v>30714495.050830711</v>
      </c>
      <c r="W56" s="276" t="s">
        <v>334</v>
      </c>
      <c r="X56" s="276">
        <f>MIN(B56:V56)</f>
        <v>1418039.2071824148</v>
      </c>
    </row>
    <row r="57" spans="1:25" x14ac:dyDescent="0.25">
      <c r="A57" s="95" t="s">
        <v>333</v>
      </c>
      <c r="B57" s="275">
        <f>B51</f>
        <v>1418039.2071824148</v>
      </c>
      <c r="C57" s="275">
        <f>B57+C51</f>
        <v>2845006.4143648297</v>
      </c>
      <c r="D57" s="275">
        <f t="shared" ref="D57:V57" si="25">C57+D51</f>
        <v>4270648.6215472445</v>
      </c>
      <c r="E57" s="275">
        <f t="shared" si="25"/>
        <v>5696290.8287296593</v>
      </c>
      <c r="F57" s="275">
        <f t="shared" si="25"/>
        <v>7126274.0359120741</v>
      </c>
      <c r="G57" s="275">
        <f t="shared" si="25"/>
        <v>8556306.9430944882</v>
      </c>
      <c r="H57" s="275">
        <f t="shared" si="25"/>
        <v>9986346.1502769031</v>
      </c>
      <c r="I57" s="275">
        <f t="shared" si="25"/>
        <v>11415585.357459318</v>
      </c>
      <c r="J57" s="275">
        <f t="shared" si="25"/>
        <v>12844824.564641733</v>
      </c>
      <c r="K57" s="275">
        <f t="shared" si="25"/>
        <v>14334363.771824148</v>
      </c>
      <c r="L57" s="275">
        <f t="shared" si="25"/>
        <v>15823102.979006562</v>
      </c>
      <c r="M57" s="275">
        <f t="shared" si="25"/>
        <v>17311842.186188977</v>
      </c>
      <c r="N57" s="275">
        <f t="shared" si="25"/>
        <v>18801381.393371392</v>
      </c>
      <c r="O57" s="275">
        <f t="shared" si="25"/>
        <v>20290120.600553807</v>
      </c>
      <c r="P57" s="275">
        <f t="shared" si="25"/>
        <v>21778859.807736222</v>
      </c>
      <c r="Q57" s="275">
        <f t="shared" si="25"/>
        <v>23268399.014918637</v>
      </c>
      <c r="R57" s="275">
        <f t="shared" si="25"/>
        <v>24757138.222101051</v>
      </c>
      <c r="S57" s="275">
        <f t="shared" si="25"/>
        <v>26245877.429283466</v>
      </c>
      <c r="T57" s="275">
        <f t="shared" si="25"/>
        <v>27735416.636465881</v>
      </c>
      <c r="U57" s="275">
        <f t="shared" si="25"/>
        <v>29224955.843648296</v>
      </c>
      <c r="V57" s="275">
        <f t="shared" si="25"/>
        <v>30714495.050830711</v>
      </c>
      <c r="W57" s="276" t="s">
        <v>334</v>
      </c>
      <c r="X57" s="276">
        <f>MIN(B57:V57)</f>
        <v>1418039.2071824148</v>
      </c>
    </row>
    <row r="58" spans="1:25" s="284" customFormat="1" x14ac:dyDescent="0.25">
      <c r="A58" s="281" t="s">
        <v>347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3"/>
      <c r="X58" s="283"/>
      <c r="Y58" s="47"/>
    </row>
    <row r="59" spans="1:25" x14ac:dyDescent="0.25">
      <c r="A59" s="278" t="s">
        <v>342</v>
      </c>
      <c r="B59" s="64">
        <f t="shared" ref="B59:Q62" si="26">IF(AND(B53&lt;0,C53&gt;0),B$2+(-B53/(-B53+C53)),0)</f>
        <v>0</v>
      </c>
      <c r="C59" s="64">
        <f t="shared" si="26"/>
        <v>0</v>
      </c>
      <c r="D59" s="64">
        <f t="shared" si="26"/>
        <v>0</v>
      </c>
      <c r="E59" s="64">
        <f t="shared" si="26"/>
        <v>0</v>
      </c>
      <c r="F59" s="64">
        <f t="shared" si="26"/>
        <v>0</v>
      </c>
      <c r="G59" s="64">
        <f t="shared" si="26"/>
        <v>0</v>
      </c>
      <c r="H59" s="64">
        <f t="shared" si="26"/>
        <v>0</v>
      </c>
      <c r="I59" s="64">
        <f t="shared" si="26"/>
        <v>0</v>
      </c>
      <c r="J59" s="64">
        <f t="shared" si="26"/>
        <v>0</v>
      </c>
      <c r="K59" s="64">
        <f t="shared" si="26"/>
        <v>0</v>
      </c>
      <c r="L59" s="64">
        <f t="shared" si="26"/>
        <v>0</v>
      </c>
      <c r="M59" s="64">
        <f>IF(AND(M53&lt;0,N53&gt;0),M$2+(-M53/(-M53+N53)),0)</f>
        <v>12.295094117647059</v>
      </c>
      <c r="N59" s="64">
        <f t="shared" ref="N59:S62" si="27">IF(AND(N53&lt;0,O53&gt;0),N$2+(-N53/(-N53+O53)),0)</f>
        <v>0</v>
      </c>
      <c r="O59" s="64">
        <f t="shared" si="27"/>
        <v>0</v>
      </c>
      <c r="P59" s="64">
        <f t="shared" si="27"/>
        <v>0</v>
      </c>
      <c r="Q59" s="64">
        <f t="shared" si="27"/>
        <v>0</v>
      </c>
      <c r="R59" s="64">
        <f t="shared" si="27"/>
        <v>0</v>
      </c>
      <c r="S59" s="64">
        <f t="shared" si="27"/>
        <v>0</v>
      </c>
      <c r="T59" s="64">
        <f t="shared" ref="T59:V62" si="28">IF(AND(T53&lt;0,V53&gt;0),T$2+(-T53/(-T53+V53)),0)</f>
        <v>0</v>
      </c>
      <c r="U59" s="64">
        <f t="shared" si="28"/>
        <v>0</v>
      </c>
      <c r="V59" s="64">
        <f t="shared" si="28"/>
        <v>0</v>
      </c>
      <c r="W59" s="279" t="s">
        <v>346</v>
      </c>
      <c r="X59" s="280">
        <f>MAX(B59:V59)</f>
        <v>12.295094117647059</v>
      </c>
    </row>
    <row r="60" spans="1:25" x14ac:dyDescent="0.25">
      <c r="A60" s="278" t="s">
        <v>343</v>
      </c>
      <c r="B60" s="64">
        <f t="shared" si="26"/>
        <v>0</v>
      </c>
      <c r="C60" s="64">
        <f t="shared" si="26"/>
        <v>0</v>
      </c>
      <c r="D60" s="64">
        <f t="shared" si="26"/>
        <v>0</v>
      </c>
      <c r="E60" s="64">
        <f t="shared" si="26"/>
        <v>0</v>
      </c>
      <c r="F60" s="64">
        <f t="shared" si="26"/>
        <v>0</v>
      </c>
      <c r="G60" s="64">
        <f t="shared" si="26"/>
        <v>0</v>
      </c>
      <c r="H60" s="64">
        <f t="shared" si="26"/>
        <v>0</v>
      </c>
      <c r="I60" s="64">
        <f t="shared" si="26"/>
        <v>0</v>
      </c>
      <c r="J60" s="64">
        <f t="shared" si="26"/>
        <v>0</v>
      </c>
      <c r="K60" s="64">
        <f t="shared" si="26"/>
        <v>0</v>
      </c>
      <c r="L60" s="64">
        <f t="shared" si="26"/>
        <v>0</v>
      </c>
      <c r="M60" s="64">
        <f t="shared" si="26"/>
        <v>0</v>
      </c>
      <c r="N60" s="64">
        <f t="shared" si="26"/>
        <v>0</v>
      </c>
      <c r="O60" s="64">
        <f t="shared" si="26"/>
        <v>0</v>
      </c>
      <c r="P60" s="64">
        <f t="shared" si="26"/>
        <v>0</v>
      </c>
      <c r="Q60" s="64">
        <f t="shared" si="26"/>
        <v>0</v>
      </c>
      <c r="R60" s="64">
        <f t="shared" si="27"/>
        <v>0</v>
      </c>
      <c r="S60" s="64">
        <f t="shared" si="27"/>
        <v>0</v>
      </c>
      <c r="T60" s="64">
        <f t="shared" si="28"/>
        <v>0</v>
      </c>
      <c r="U60" s="64">
        <f t="shared" si="28"/>
        <v>0</v>
      </c>
      <c r="V60" s="64">
        <f t="shared" si="28"/>
        <v>0</v>
      </c>
      <c r="W60" s="279" t="s">
        <v>346</v>
      </c>
      <c r="X60" s="280">
        <f>MAX(B60:V60)</f>
        <v>0</v>
      </c>
    </row>
    <row r="61" spans="1:25" x14ac:dyDescent="0.25">
      <c r="A61" s="278" t="s">
        <v>344</v>
      </c>
      <c r="B61" s="64">
        <f t="shared" si="26"/>
        <v>0</v>
      </c>
      <c r="C61" s="64">
        <f t="shared" si="26"/>
        <v>0</v>
      </c>
      <c r="D61" s="64">
        <f t="shared" si="26"/>
        <v>0</v>
      </c>
      <c r="E61" s="64">
        <f t="shared" si="26"/>
        <v>0</v>
      </c>
      <c r="F61" s="64">
        <f t="shared" si="26"/>
        <v>0</v>
      </c>
      <c r="G61" s="64">
        <f t="shared" si="26"/>
        <v>0</v>
      </c>
      <c r="H61" s="64">
        <f t="shared" si="26"/>
        <v>0</v>
      </c>
      <c r="I61" s="64">
        <f t="shared" si="26"/>
        <v>8.6451612903225801</v>
      </c>
      <c r="J61" s="64">
        <f t="shared" si="26"/>
        <v>0</v>
      </c>
      <c r="K61" s="64">
        <f t="shared" si="26"/>
        <v>0</v>
      </c>
      <c r="L61" s="64">
        <f t="shared" si="26"/>
        <v>11.290322580645162</v>
      </c>
      <c r="M61" s="64">
        <f t="shared" si="26"/>
        <v>0</v>
      </c>
      <c r="N61" s="64">
        <f t="shared" si="26"/>
        <v>0</v>
      </c>
      <c r="O61" s="64">
        <f t="shared" si="26"/>
        <v>0</v>
      </c>
      <c r="P61" s="64">
        <f t="shared" si="26"/>
        <v>0</v>
      </c>
      <c r="Q61" s="64">
        <f t="shared" si="26"/>
        <v>0</v>
      </c>
      <c r="R61" s="64">
        <f t="shared" si="27"/>
        <v>0</v>
      </c>
      <c r="S61" s="64">
        <f t="shared" si="27"/>
        <v>0</v>
      </c>
      <c r="T61" s="64">
        <f t="shared" si="28"/>
        <v>0</v>
      </c>
      <c r="U61" s="64">
        <f t="shared" si="28"/>
        <v>0</v>
      </c>
      <c r="V61" s="64">
        <f t="shared" si="28"/>
        <v>0</v>
      </c>
      <c r="W61" s="279" t="s">
        <v>346</v>
      </c>
      <c r="X61" s="280">
        <f>MAX(B61:V61)</f>
        <v>11.290322580645162</v>
      </c>
    </row>
    <row r="62" spans="1:25" x14ac:dyDescent="0.25">
      <c r="A62" s="278" t="s">
        <v>345</v>
      </c>
      <c r="B62" s="64">
        <f t="shared" si="26"/>
        <v>0</v>
      </c>
      <c r="C62" s="64">
        <f t="shared" si="26"/>
        <v>0</v>
      </c>
      <c r="D62" s="64">
        <f t="shared" si="26"/>
        <v>0</v>
      </c>
      <c r="E62" s="64">
        <f t="shared" si="26"/>
        <v>0</v>
      </c>
      <c r="F62" s="64">
        <f t="shared" si="26"/>
        <v>0</v>
      </c>
      <c r="G62" s="64">
        <f t="shared" si="26"/>
        <v>0</v>
      </c>
      <c r="H62" s="64">
        <f t="shared" si="26"/>
        <v>0</v>
      </c>
      <c r="I62" s="64">
        <f t="shared" si="26"/>
        <v>0</v>
      </c>
      <c r="J62" s="64">
        <f t="shared" si="26"/>
        <v>0</v>
      </c>
      <c r="K62" s="64">
        <f t="shared" si="26"/>
        <v>0</v>
      </c>
      <c r="L62" s="64">
        <f t="shared" si="26"/>
        <v>0</v>
      </c>
      <c r="M62" s="64">
        <f t="shared" si="26"/>
        <v>0</v>
      </c>
      <c r="N62" s="64">
        <f t="shared" si="26"/>
        <v>0</v>
      </c>
      <c r="O62" s="64">
        <f t="shared" si="26"/>
        <v>0</v>
      </c>
      <c r="P62" s="64">
        <f t="shared" si="26"/>
        <v>0</v>
      </c>
      <c r="Q62" s="64">
        <f t="shared" si="26"/>
        <v>0</v>
      </c>
      <c r="R62" s="64">
        <f t="shared" si="27"/>
        <v>0</v>
      </c>
      <c r="S62" s="64">
        <f t="shared" si="27"/>
        <v>0</v>
      </c>
      <c r="T62" s="64">
        <f t="shared" si="28"/>
        <v>0</v>
      </c>
      <c r="U62" s="64">
        <f t="shared" si="28"/>
        <v>0</v>
      </c>
      <c r="V62" s="64">
        <f t="shared" si="28"/>
        <v>0</v>
      </c>
      <c r="W62" s="279" t="s">
        <v>346</v>
      </c>
      <c r="X62" s="280">
        <f>MAX(B62:V62)</f>
        <v>0</v>
      </c>
    </row>
    <row r="63" spans="1:25" x14ac:dyDescent="0.25">
      <c r="A63" t="s">
        <v>319</v>
      </c>
    </row>
    <row r="64" spans="1:25" x14ac:dyDescent="0.25">
      <c r="A64" t="s">
        <v>320</v>
      </c>
      <c r="B64" s="215">
        <f t="shared" ref="B64:V66" si="29">B48-B19</f>
        <v>-7603</v>
      </c>
      <c r="C64" s="215">
        <f t="shared" si="29"/>
        <v>1325</v>
      </c>
      <c r="D64" s="215">
        <f t="shared" si="29"/>
        <v>0</v>
      </c>
      <c r="E64" s="215">
        <f t="shared" si="29"/>
        <v>0</v>
      </c>
      <c r="F64" s="215">
        <f t="shared" si="29"/>
        <v>4341</v>
      </c>
      <c r="G64" s="215">
        <f t="shared" si="29"/>
        <v>4390.7</v>
      </c>
      <c r="H64" s="215">
        <f t="shared" si="29"/>
        <v>4397</v>
      </c>
      <c r="I64" s="215">
        <f t="shared" si="29"/>
        <v>4397</v>
      </c>
      <c r="J64" s="215">
        <f t="shared" si="29"/>
        <v>2357</v>
      </c>
      <c r="K64" s="215">
        <f t="shared" si="29"/>
        <v>12897</v>
      </c>
      <c r="L64" s="215">
        <f t="shared" si="29"/>
        <v>12897</v>
      </c>
      <c r="M64" s="215">
        <f t="shared" si="29"/>
        <v>10857</v>
      </c>
      <c r="N64" s="215">
        <f t="shared" si="29"/>
        <v>11988</v>
      </c>
      <c r="O64" s="215">
        <f t="shared" si="29"/>
        <v>11988</v>
      </c>
      <c r="P64" s="215">
        <f t="shared" si="29"/>
        <v>6466.3</v>
      </c>
      <c r="Q64" s="215">
        <f t="shared" si="29"/>
        <v>8500</v>
      </c>
      <c r="R64" s="215">
        <f t="shared" si="29"/>
        <v>8500</v>
      </c>
      <c r="S64" s="215">
        <f t="shared" si="29"/>
        <v>8500</v>
      </c>
      <c r="T64" s="215">
        <f t="shared" si="29"/>
        <v>0</v>
      </c>
      <c r="U64" s="215">
        <f t="shared" si="29"/>
        <v>0</v>
      </c>
      <c r="V64" s="215">
        <f t="shared" si="29"/>
        <v>0</v>
      </c>
      <c r="W64" s="189">
        <f>SUM(B64:V64)</f>
        <v>106198</v>
      </c>
      <c r="X64" s="189">
        <f>NPV('1сел'!$X$1,B64:V64)</f>
        <v>82086.987473545305</v>
      </c>
    </row>
    <row r="65" spans="1:25" x14ac:dyDescent="0.25">
      <c r="A65" t="s">
        <v>321</v>
      </c>
      <c r="B65">
        <f t="shared" si="29"/>
        <v>-439960.79281758517</v>
      </c>
      <c r="C65">
        <f t="shared" si="29"/>
        <v>-439960.79281758517</v>
      </c>
      <c r="D65">
        <f t="shared" si="29"/>
        <v>-439960.79281758517</v>
      </c>
      <c r="E65">
        <f t="shared" si="29"/>
        <v>-439960.79281758517</v>
      </c>
      <c r="F65">
        <f t="shared" si="29"/>
        <v>-439960.79281758517</v>
      </c>
      <c r="G65">
        <f t="shared" si="29"/>
        <v>-439960.79281758517</v>
      </c>
      <c r="H65">
        <f t="shared" si="29"/>
        <v>-439960.79281758517</v>
      </c>
      <c r="I65">
        <f t="shared" si="29"/>
        <v>-439960.79281758517</v>
      </c>
      <c r="J65">
        <f t="shared" si="29"/>
        <v>-439960.79281758517</v>
      </c>
      <c r="K65">
        <f t="shared" si="29"/>
        <v>-388960.79281758517</v>
      </c>
      <c r="L65">
        <f t="shared" si="29"/>
        <v>-388960.79281758517</v>
      </c>
      <c r="M65">
        <f t="shared" si="29"/>
        <v>-388960.79281758517</v>
      </c>
      <c r="N65">
        <f t="shared" si="29"/>
        <v>-388960.79281758517</v>
      </c>
      <c r="O65">
        <f t="shared" si="29"/>
        <v>-388960.79281758517</v>
      </c>
      <c r="P65">
        <f t="shared" si="29"/>
        <v>-388960.79281758517</v>
      </c>
      <c r="Q65">
        <f t="shared" si="29"/>
        <v>-388960.79281758517</v>
      </c>
      <c r="R65">
        <f t="shared" si="29"/>
        <v>-388960.79281758517</v>
      </c>
      <c r="S65">
        <f t="shared" si="29"/>
        <v>-388960.79281758517</v>
      </c>
      <c r="T65">
        <f t="shared" si="29"/>
        <v>-439960.79281758517</v>
      </c>
      <c r="U65">
        <f t="shared" si="29"/>
        <v>-439960.79281758517</v>
      </c>
      <c r="V65">
        <f t="shared" si="29"/>
        <v>-439960.79281758517</v>
      </c>
      <c r="W65" s="189">
        <f>SUM(B65:V65)</f>
        <v>-8780176.6491692886</v>
      </c>
      <c r="X65" s="189">
        <f>NPV('1сел'!$X$1,B65:V65)</f>
        <v>-7135945.5476090508</v>
      </c>
    </row>
    <row r="66" spans="1:25" x14ac:dyDescent="0.25">
      <c r="A66" t="s">
        <v>322</v>
      </c>
      <c r="B66" s="215">
        <f t="shared" si="29"/>
        <v>0</v>
      </c>
      <c r="C66" s="215">
        <f t="shared" si="29"/>
        <v>0</v>
      </c>
      <c r="D66" s="215">
        <f t="shared" si="29"/>
        <v>0</v>
      </c>
      <c r="E66" s="215">
        <f t="shared" si="29"/>
        <v>0</v>
      </c>
      <c r="F66" s="215">
        <f t="shared" si="29"/>
        <v>0</v>
      </c>
      <c r="G66" s="215">
        <f t="shared" si="29"/>
        <v>0</v>
      </c>
      <c r="H66" s="215">
        <f t="shared" si="29"/>
        <v>0</v>
      </c>
      <c r="I66" s="215">
        <f t="shared" si="29"/>
        <v>-800.00000000000011</v>
      </c>
      <c r="J66" s="215">
        <f t="shared" si="29"/>
        <v>1240</v>
      </c>
      <c r="K66" s="215">
        <f t="shared" si="29"/>
        <v>0</v>
      </c>
      <c r="L66" s="215">
        <f t="shared" si="29"/>
        <v>-800.00000000000011</v>
      </c>
      <c r="M66" s="215">
        <f t="shared" si="29"/>
        <v>1240</v>
      </c>
      <c r="N66" s="215">
        <f t="shared" si="29"/>
        <v>0</v>
      </c>
      <c r="O66" s="215">
        <f t="shared" si="29"/>
        <v>-800.00000000000011</v>
      </c>
      <c r="P66" s="215">
        <f t="shared" si="29"/>
        <v>1240</v>
      </c>
      <c r="Q66" s="215">
        <f t="shared" si="29"/>
        <v>0</v>
      </c>
      <c r="R66" s="215">
        <f t="shared" si="29"/>
        <v>0</v>
      </c>
      <c r="S66" s="215">
        <f t="shared" si="29"/>
        <v>0</v>
      </c>
      <c r="T66" s="215">
        <f t="shared" si="29"/>
        <v>0</v>
      </c>
      <c r="U66" s="215">
        <f t="shared" si="29"/>
        <v>0</v>
      </c>
      <c r="V66" s="215">
        <f t="shared" si="29"/>
        <v>0</v>
      </c>
      <c r="W66" s="189">
        <f>SUM(B66:V66)</f>
        <v>1319.9999999999995</v>
      </c>
      <c r="X66" s="189">
        <f>NPV('1сел'!$X$1,B66:V66)</f>
        <v>1004.143584691761</v>
      </c>
    </row>
    <row r="67" spans="1:25" x14ac:dyDescent="0.25">
      <c r="A67" s="145" t="s">
        <v>419</v>
      </c>
      <c r="B67" s="215">
        <f>SUM(B64:B66)</f>
        <v>-447563.79281758517</v>
      </c>
      <c r="C67" s="215">
        <f t="shared" ref="C67:V67" si="30">SUM(C64:C66)</f>
        <v>-438635.79281758517</v>
      </c>
      <c r="D67" s="215">
        <f t="shared" si="30"/>
        <v>-439960.79281758517</v>
      </c>
      <c r="E67" s="215">
        <f t="shared" si="30"/>
        <v>-439960.79281758517</v>
      </c>
      <c r="F67" s="215">
        <f t="shared" si="30"/>
        <v>-435619.79281758517</v>
      </c>
      <c r="G67" s="215">
        <f t="shared" si="30"/>
        <v>-435570.09281758516</v>
      </c>
      <c r="H67" s="215">
        <f t="shared" si="30"/>
        <v>-435563.79281758517</v>
      </c>
      <c r="I67" s="215">
        <f t="shared" si="30"/>
        <v>-436363.79281758517</v>
      </c>
      <c r="J67" s="215">
        <f t="shared" si="30"/>
        <v>-436363.79281758517</v>
      </c>
      <c r="K67" s="215">
        <f t="shared" si="30"/>
        <v>-376063.79281758517</v>
      </c>
      <c r="L67" s="215">
        <f t="shared" si="30"/>
        <v>-376863.79281758517</v>
      </c>
      <c r="M67" s="215">
        <f t="shared" si="30"/>
        <v>-376863.79281758517</v>
      </c>
      <c r="N67" s="215">
        <f t="shared" si="30"/>
        <v>-376972.79281758517</v>
      </c>
      <c r="O67" s="215">
        <f t="shared" si="30"/>
        <v>-377772.79281758517</v>
      </c>
      <c r="P67" s="215">
        <f t="shared" si="30"/>
        <v>-381254.49281758518</v>
      </c>
      <c r="Q67" s="215">
        <f t="shared" si="30"/>
        <v>-380460.79281758517</v>
      </c>
      <c r="R67" s="215">
        <f t="shared" si="30"/>
        <v>-380460.79281758517</v>
      </c>
      <c r="S67" s="215">
        <f t="shared" si="30"/>
        <v>-380460.79281758517</v>
      </c>
      <c r="T67" s="215">
        <f t="shared" si="30"/>
        <v>-439960.79281758517</v>
      </c>
      <c r="U67" s="215">
        <f t="shared" si="30"/>
        <v>-439960.79281758517</v>
      </c>
      <c r="V67" s="215">
        <f t="shared" si="30"/>
        <v>-439960.79281758517</v>
      </c>
      <c r="W67" s="189">
        <f>SUM(B67:V67)</f>
        <v>-8672658.6491692886</v>
      </c>
      <c r="X67" s="189">
        <f>NPV('1сел'!$X$1,B67:V67)</f>
        <v>-7052854.4165508142</v>
      </c>
    </row>
    <row r="68" spans="1:25" x14ac:dyDescent="0.25">
      <c r="A68" t="s">
        <v>420</v>
      </c>
    </row>
    <row r="69" spans="1:25" x14ac:dyDescent="0.25">
      <c r="A69" t="s">
        <v>320</v>
      </c>
      <c r="B69" s="215">
        <f>'1сел'!B38</f>
        <v>-7603</v>
      </c>
      <c r="C69" s="215">
        <f>'1сел'!C38</f>
        <v>1325</v>
      </c>
      <c r="D69" s="215">
        <f>'1сел'!D38</f>
        <v>0</v>
      </c>
      <c r="E69" s="215">
        <f>'1сел'!E38</f>
        <v>0</v>
      </c>
      <c r="F69" s="215">
        <f>'1сел'!F38</f>
        <v>4341</v>
      </c>
      <c r="G69" s="215">
        <f>'1сел'!G38</f>
        <v>4390.7</v>
      </c>
      <c r="H69" s="215">
        <f>'1сел'!H38</f>
        <v>4397</v>
      </c>
      <c r="I69" s="215">
        <f>'1сел'!I38</f>
        <v>4397</v>
      </c>
      <c r="J69" s="215">
        <f>'1сел'!J38</f>
        <v>2357</v>
      </c>
      <c r="K69" s="215">
        <f>'1сел'!K38</f>
        <v>12897</v>
      </c>
      <c r="L69" s="215">
        <f>'1сел'!L38</f>
        <v>12897</v>
      </c>
      <c r="M69" s="215">
        <f>'1сел'!M38</f>
        <v>10857</v>
      </c>
      <c r="N69" s="215">
        <f>'1сел'!N38</f>
        <v>11988</v>
      </c>
      <c r="O69" s="215">
        <f>'1сел'!O38</f>
        <v>11988</v>
      </c>
      <c r="P69" s="215">
        <f>'1сел'!P38</f>
        <v>6466.3</v>
      </c>
      <c r="Q69" s="215">
        <f>'1сел'!Q38</f>
        <v>8500</v>
      </c>
      <c r="R69" s="215">
        <f>'1сел'!R38</f>
        <v>8500</v>
      </c>
      <c r="S69" s="215">
        <f>'1сел'!S38</f>
        <v>8500</v>
      </c>
      <c r="T69" s="215">
        <f>'1сел'!T38</f>
        <v>0</v>
      </c>
      <c r="U69" s="215">
        <f>'1сел'!U38</f>
        <v>0</v>
      </c>
      <c r="V69" s="215">
        <f>'1сел'!V38</f>
        <v>0</v>
      </c>
      <c r="W69" s="189">
        <f>SUM(B69:V69)</f>
        <v>106198</v>
      </c>
      <c r="X69" s="189">
        <f>NPV('1сел'!$X$1,B69:V69)</f>
        <v>82086.987473545305</v>
      </c>
    </row>
    <row r="70" spans="1:25" x14ac:dyDescent="0.25">
      <c r="A70" t="s">
        <v>321</v>
      </c>
      <c r="B70" s="215">
        <f>'3товар'!B26*1000</f>
        <v>0</v>
      </c>
      <c r="C70" s="215">
        <f>'3товар'!C26*1000</f>
        <v>0</v>
      </c>
      <c r="D70" s="215">
        <f>'3товар'!D26*1000</f>
        <v>0</v>
      </c>
      <c r="E70" s="215">
        <f>'3товар'!E26*1000</f>
        <v>0</v>
      </c>
      <c r="F70" s="215">
        <f>'3товар'!F26*1000</f>
        <v>0</v>
      </c>
      <c r="G70" s="215">
        <f>'3товар'!G26*1000</f>
        <v>0</v>
      </c>
      <c r="H70" s="215">
        <f>'3товар'!H26*1000</f>
        <v>0</v>
      </c>
      <c r="I70" s="215">
        <f>'3товар'!I26*1000</f>
        <v>0</v>
      </c>
      <c r="J70" s="215">
        <f>'3товар'!J26*1000</f>
        <v>0</v>
      </c>
      <c r="K70" s="215">
        <f>'3товар'!K26*1000</f>
        <v>51000</v>
      </c>
      <c r="L70" s="215">
        <f>'3товар'!L26*1000</f>
        <v>51000</v>
      </c>
      <c r="M70" s="215">
        <f>'3товар'!M26*1000</f>
        <v>51000</v>
      </c>
      <c r="N70" s="215">
        <f>'3товар'!N26*1000</f>
        <v>51000</v>
      </c>
      <c r="O70" s="215">
        <f>'3товар'!O26*1000</f>
        <v>51000</v>
      </c>
      <c r="P70" s="215">
        <f>'3товар'!P26*1000</f>
        <v>51000</v>
      </c>
      <c r="Q70" s="215">
        <f>'3товар'!Q26*1000</f>
        <v>51000</v>
      </c>
      <c r="R70" s="215">
        <f>'3товар'!R26*1000</f>
        <v>51000</v>
      </c>
      <c r="S70" s="215">
        <f>'3товар'!S26*1000</f>
        <v>51000</v>
      </c>
      <c r="T70" s="215">
        <f>'3товар'!T26*1000</f>
        <v>0</v>
      </c>
      <c r="U70" s="215">
        <f>'3товар'!U26*1000</f>
        <v>0</v>
      </c>
      <c r="V70" s="215">
        <f>'3товар'!V26*1000</f>
        <v>0</v>
      </c>
      <c r="W70" s="189">
        <f>SUM(B70:V70)</f>
        <v>459000</v>
      </c>
      <c r="X70" s="189">
        <f>NPV('1сел'!$X$1,B70:V70)</f>
        <v>348319.52181293961</v>
      </c>
    </row>
    <row r="71" spans="1:25" x14ac:dyDescent="0.25">
      <c r="A71" t="s">
        <v>322</v>
      </c>
      <c r="B71" s="215">
        <f>'2сем'!B38</f>
        <v>0</v>
      </c>
      <c r="C71" s="215">
        <f>'2сем'!C38</f>
        <v>0</v>
      </c>
      <c r="D71" s="215">
        <f>'2сем'!D38</f>
        <v>0</v>
      </c>
      <c r="E71" s="215">
        <f>'2сем'!E38</f>
        <v>0</v>
      </c>
      <c r="F71" s="215">
        <f>'2сем'!F38</f>
        <v>0</v>
      </c>
      <c r="G71" s="215">
        <f>'2сем'!G38</f>
        <v>0</v>
      </c>
      <c r="H71" s="215">
        <f>'2сем'!H38</f>
        <v>0</v>
      </c>
      <c r="I71" s="215">
        <f>'2сем'!I38</f>
        <v>-800.00000000000011</v>
      </c>
      <c r="J71" s="215">
        <f>'2сем'!J38</f>
        <v>1240</v>
      </c>
      <c r="K71" s="215">
        <f>'2сем'!K38</f>
        <v>0</v>
      </c>
      <c r="L71" s="215">
        <f>'2сем'!L38</f>
        <v>-800.00000000000011</v>
      </c>
      <c r="M71" s="215">
        <f>'2сем'!M38</f>
        <v>1240</v>
      </c>
      <c r="N71" s="215">
        <f>'2сем'!N38</f>
        <v>0</v>
      </c>
      <c r="O71" s="215">
        <f>'2сем'!O38</f>
        <v>-800.00000000000011</v>
      </c>
      <c r="P71" s="215">
        <f>'2сем'!P38</f>
        <v>1240</v>
      </c>
      <c r="Q71" s="215">
        <f>'2сем'!Q38</f>
        <v>0</v>
      </c>
      <c r="R71" s="215">
        <f>'2сем'!R38</f>
        <v>0</v>
      </c>
      <c r="S71" s="215">
        <f>'2сем'!S38</f>
        <v>0</v>
      </c>
      <c r="T71" s="215">
        <f>'2сем'!T38</f>
        <v>0</v>
      </c>
      <c r="U71" s="215">
        <f>'2сем'!U38</f>
        <v>0</v>
      </c>
      <c r="V71" s="215">
        <f>'2сем'!V38</f>
        <v>0</v>
      </c>
      <c r="W71" s="189">
        <f>SUM(B71:V71)</f>
        <v>1319.9999999999995</v>
      </c>
      <c r="X71" s="189">
        <f>NPV('1сел'!$X$1,B71:V71)</f>
        <v>1004.143584691761</v>
      </c>
    </row>
    <row r="72" spans="1:25" x14ac:dyDescent="0.25">
      <c r="A72" s="299" t="s">
        <v>325</v>
      </c>
      <c r="B72" s="419">
        <f>SUM(B64:B66)</f>
        <v>-447563.79281758517</v>
      </c>
      <c r="C72" s="215">
        <f t="shared" ref="C72:V72" si="31">SUM(C69:C71)</f>
        <v>1325</v>
      </c>
      <c r="D72" s="215">
        <f t="shared" si="31"/>
        <v>0</v>
      </c>
      <c r="E72" s="215">
        <f t="shared" si="31"/>
        <v>0</v>
      </c>
      <c r="F72" s="215">
        <f t="shared" si="31"/>
        <v>4341</v>
      </c>
      <c r="G72" s="215">
        <f t="shared" si="31"/>
        <v>4390.7</v>
      </c>
      <c r="H72" s="215">
        <f t="shared" si="31"/>
        <v>4397</v>
      </c>
      <c r="I72" s="215">
        <f t="shared" si="31"/>
        <v>3597</v>
      </c>
      <c r="J72" s="215">
        <f t="shared" si="31"/>
        <v>3597</v>
      </c>
      <c r="K72" s="215">
        <f t="shared" si="31"/>
        <v>63897</v>
      </c>
      <c r="L72" s="215">
        <f t="shared" si="31"/>
        <v>63097</v>
      </c>
      <c r="M72" s="215">
        <f t="shared" si="31"/>
        <v>63097</v>
      </c>
      <c r="N72" s="215">
        <f t="shared" si="31"/>
        <v>62988</v>
      </c>
      <c r="O72" s="215">
        <f t="shared" si="31"/>
        <v>62188</v>
      </c>
      <c r="P72" s="215">
        <f t="shared" si="31"/>
        <v>58706.3</v>
      </c>
      <c r="Q72" s="215">
        <f t="shared" si="31"/>
        <v>59500</v>
      </c>
      <c r="R72" s="215">
        <f t="shared" si="31"/>
        <v>59500</v>
      </c>
      <c r="S72" s="215">
        <f t="shared" si="31"/>
        <v>59500</v>
      </c>
      <c r="T72" s="215">
        <f t="shared" si="31"/>
        <v>0</v>
      </c>
      <c r="U72" s="215">
        <f t="shared" si="31"/>
        <v>0</v>
      </c>
      <c r="V72" s="215">
        <f t="shared" si="31"/>
        <v>0</v>
      </c>
      <c r="W72" s="189">
        <f>SUM(B72:V72)</f>
        <v>126557.20718241484</v>
      </c>
      <c r="X72" s="277">
        <f>NPV('1сел'!$X$1,B72:V72)</f>
        <v>76.542265701009811</v>
      </c>
    </row>
    <row r="73" spans="1:25" s="264" customFormat="1" ht="12.75" x14ac:dyDescent="0.2">
      <c r="A73" s="264" t="s">
        <v>326</v>
      </c>
      <c r="B73" s="266">
        <f>B67-B72</f>
        <v>0</v>
      </c>
      <c r="C73" s="266">
        <f t="shared" ref="C73:V73" si="32">C67-C72</f>
        <v>-439960.79281758517</v>
      </c>
      <c r="D73" s="266">
        <f t="shared" si="32"/>
        <v>-439960.79281758517</v>
      </c>
      <c r="E73" s="266">
        <f t="shared" si="32"/>
        <v>-439960.79281758517</v>
      </c>
      <c r="F73" s="266">
        <f t="shared" si="32"/>
        <v>-439960.79281758517</v>
      </c>
      <c r="G73" s="266">
        <f t="shared" si="32"/>
        <v>-439960.79281758517</v>
      </c>
      <c r="H73" s="266">
        <f t="shared" si="32"/>
        <v>-439960.79281758517</v>
      </c>
      <c r="I73" s="266">
        <f t="shared" si="32"/>
        <v>-439960.79281758517</v>
      </c>
      <c r="J73" s="266">
        <f t="shared" si="32"/>
        <v>-439960.79281758517</v>
      </c>
      <c r="K73" s="266">
        <f t="shared" si="32"/>
        <v>-439960.79281758517</v>
      </c>
      <c r="L73" s="266">
        <f t="shared" si="32"/>
        <v>-439960.79281758517</v>
      </c>
      <c r="M73" s="266">
        <f t="shared" si="32"/>
        <v>-439960.79281758517</v>
      </c>
      <c r="N73" s="266">
        <f t="shared" si="32"/>
        <v>-439960.79281758517</v>
      </c>
      <c r="O73" s="266">
        <f t="shared" si="32"/>
        <v>-439960.79281758517</v>
      </c>
      <c r="P73" s="266">
        <f t="shared" si="32"/>
        <v>-439960.79281758517</v>
      </c>
      <c r="Q73" s="266">
        <f t="shared" si="32"/>
        <v>-439960.79281758517</v>
      </c>
      <c r="R73" s="266">
        <f t="shared" si="32"/>
        <v>-439960.79281758517</v>
      </c>
      <c r="S73" s="266">
        <f t="shared" si="32"/>
        <v>-439960.79281758517</v>
      </c>
      <c r="T73" s="266">
        <f t="shared" si="32"/>
        <v>-439960.79281758517</v>
      </c>
      <c r="U73" s="266">
        <f t="shared" si="32"/>
        <v>-439960.79281758517</v>
      </c>
      <c r="V73" s="266">
        <f t="shared" si="32"/>
        <v>-439960.79281758517</v>
      </c>
      <c r="W73" s="265"/>
      <c r="X73" s="265"/>
      <c r="Y73" s="265"/>
    </row>
    <row r="74" spans="1:25" s="72" customFormat="1" ht="11.25" x14ac:dyDescent="0.2">
      <c r="A74" s="72" t="s">
        <v>350</v>
      </c>
      <c r="B74" s="288">
        <f>(1+'1сел'!$X$1)^B$2</f>
        <v>1.02</v>
      </c>
      <c r="C74" s="288">
        <f>(1+'1сел'!$X$1)^C$2</f>
        <v>1.0404</v>
      </c>
      <c r="D74" s="288">
        <f>(1+'1сел'!$X$1)^D$2</f>
        <v>1.0612079999999999</v>
      </c>
      <c r="E74" s="288">
        <f>(1+'1сел'!$X$1)^E$2</f>
        <v>1.08243216</v>
      </c>
      <c r="F74" s="288">
        <f>(1+'1сел'!$X$1)^F$2</f>
        <v>1.1040808032</v>
      </c>
      <c r="G74" s="288">
        <f>(1+'1сел'!$X$1)^G$2</f>
        <v>1.1261624192640001</v>
      </c>
      <c r="H74" s="288">
        <f>(1+'1сел'!$X$1)^H$2</f>
        <v>1.1486856676492798</v>
      </c>
      <c r="I74" s="288">
        <f>(1+'1сел'!$X$1)^I$2</f>
        <v>1.1716593810022655</v>
      </c>
      <c r="J74" s="288">
        <f>(1+'1сел'!$X$1)^J$2</f>
        <v>1.1950925686223108</v>
      </c>
      <c r="K74" s="288">
        <f>(1+'1сел'!$X$1)^K$2</f>
        <v>1.2189944199947571</v>
      </c>
      <c r="L74" s="288">
        <f>(1+'1сел'!$X$1)^L$2</f>
        <v>1.243374308394652</v>
      </c>
      <c r="M74" s="288">
        <f>(1+'1сел'!$X$1)^M$2</f>
        <v>1.2682417945625453</v>
      </c>
      <c r="N74" s="288">
        <f>(1+'1сел'!$X$1)^N$2</f>
        <v>1.2936066304537961</v>
      </c>
      <c r="O74" s="288">
        <f>(1+'1сел'!$X$1)^O$2</f>
        <v>1.3194787630628722</v>
      </c>
      <c r="P74" s="288">
        <f>(1+'1сел'!$X$1)^P$2</f>
        <v>1.3458683383241292</v>
      </c>
      <c r="Q74" s="288">
        <f>(1+'1сел'!$X$1)^Q$2</f>
        <v>1.372785705090612</v>
      </c>
      <c r="R74" s="288">
        <f>(1+'1сел'!$X$1)^R$2</f>
        <v>1.4002414191924244</v>
      </c>
      <c r="S74" s="288">
        <f>(1+'1сел'!$X$1)^S$2</f>
        <v>1.4282462475762727</v>
      </c>
      <c r="T74" s="288">
        <f>(1+'1сел'!$X$1)^T$2</f>
        <v>1.4568111725277981</v>
      </c>
      <c r="U74" s="288">
        <f>(1+'1сел'!$X$1)^U$2</f>
        <v>1.4859473959783542</v>
      </c>
      <c r="V74" s="288">
        <f>(1+'1сел'!$X$1)^V$2</f>
        <v>1.5156663438979212</v>
      </c>
      <c r="W74" s="287"/>
      <c r="X74" s="287"/>
      <c r="Y74" s="287"/>
    </row>
    <row r="75" spans="1:25" s="264" customFormat="1" ht="12.75" x14ac:dyDescent="0.2">
      <c r="A75" s="285" t="s">
        <v>348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5"/>
      <c r="X75" s="265"/>
      <c r="Y75" s="265"/>
    </row>
    <row r="76" spans="1:25" s="264" customFormat="1" ht="18.75" x14ac:dyDescent="0.3">
      <c r="A76" s="264" t="str">
        <f>A69</f>
        <v>Селекционера</v>
      </c>
      <c r="B76" s="289">
        <f>B64/B$74</f>
        <v>-7453.9215686274511</v>
      </c>
      <c r="C76" s="289">
        <f t="shared" ref="C76:V76" si="33">C64/C$74</f>
        <v>1273.5486351403306</v>
      </c>
      <c r="D76" s="289">
        <f t="shared" si="33"/>
        <v>0</v>
      </c>
      <c r="E76" s="289">
        <f t="shared" si="33"/>
        <v>0</v>
      </c>
      <c r="F76" s="289">
        <f t="shared" si="33"/>
        <v>3931.777445471665</v>
      </c>
      <c r="G76" s="289">
        <f t="shared" si="33"/>
        <v>3898.8159477649128</v>
      </c>
      <c r="H76" s="289">
        <f t="shared" si="33"/>
        <v>3827.8531053653796</v>
      </c>
      <c r="I76" s="289">
        <f t="shared" si="33"/>
        <v>3752.7971621229208</v>
      </c>
      <c r="J76" s="289">
        <f t="shared" si="33"/>
        <v>1972.232161661856</v>
      </c>
      <c r="K76" s="289">
        <f t="shared" si="33"/>
        <v>10580.032023489877</v>
      </c>
      <c r="L76" s="289">
        <f t="shared" si="33"/>
        <v>10372.580415186158</v>
      </c>
      <c r="M76" s="289">
        <f t="shared" si="33"/>
        <v>8560.6704072900429</v>
      </c>
      <c r="N76" s="289">
        <f t="shared" si="33"/>
        <v>9267.1139106597038</v>
      </c>
      <c r="O76" s="289">
        <f t="shared" si="33"/>
        <v>9085.4057947644142</v>
      </c>
      <c r="P76" s="289">
        <f t="shared" si="33"/>
        <v>4804.5561485247626</v>
      </c>
      <c r="Q76" s="289">
        <f t="shared" si="33"/>
        <v>6191.7894165709931</v>
      </c>
      <c r="R76" s="289">
        <f t="shared" si="33"/>
        <v>6070.3817809519533</v>
      </c>
      <c r="S76" s="289">
        <f t="shared" si="33"/>
        <v>5951.3546872077977</v>
      </c>
      <c r="T76" s="289">
        <f t="shared" si="33"/>
        <v>0</v>
      </c>
      <c r="U76" s="289">
        <f t="shared" si="33"/>
        <v>0</v>
      </c>
      <c r="V76" s="289">
        <f t="shared" si="33"/>
        <v>0</v>
      </c>
      <c r="W76" s="304">
        <f>SUM(B76:V76)</f>
        <v>82086.987473545305</v>
      </c>
      <c r="X76" s="265"/>
      <c r="Y76" s="265"/>
    </row>
    <row r="77" spans="1:25" s="264" customFormat="1" ht="18.75" x14ac:dyDescent="0.3">
      <c r="A77" s="264" t="str">
        <f>A70</f>
        <v>Товарное производство</v>
      </c>
      <c r="B77" s="289">
        <f>B65/B$74</f>
        <v>-431334.11060547567</v>
      </c>
      <c r="C77" s="289">
        <f t="shared" ref="C77:V77" si="34">C65/C$74</f>
        <v>-422876.57902497612</v>
      </c>
      <c r="D77" s="289">
        <f t="shared" si="34"/>
        <v>-414584.88139703544</v>
      </c>
      <c r="E77" s="289">
        <f t="shared" si="34"/>
        <v>-406455.76607552491</v>
      </c>
      <c r="F77" s="289">
        <f t="shared" si="34"/>
        <v>-398486.04517208325</v>
      </c>
      <c r="G77" s="289">
        <f t="shared" si="34"/>
        <v>-390672.59330596396</v>
      </c>
      <c r="H77" s="289">
        <f t="shared" si="34"/>
        <v>-383012.34637839615</v>
      </c>
      <c r="I77" s="289">
        <f t="shared" si="34"/>
        <v>-375502.30037097656</v>
      </c>
      <c r="J77" s="289">
        <f t="shared" si="34"/>
        <v>-368139.51016762404</v>
      </c>
      <c r="K77" s="289">
        <f t="shared" si="34"/>
        <v>-319083.32510599849</v>
      </c>
      <c r="L77" s="289">
        <f t="shared" si="34"/>
        <v>-312826.78931960644</v>
      </c>
      <c r="M77" s="289">
        <f t="shared" si="34"/>
        <v>-306692.93070549646</v>
      </c>
      <c r="N77" s="289">
        <f t="shared" si="34"/>
        <v>-300679.34382891812</v>
      </c>
      <c r="O77" s="289">
        <f t="shared" si="34"/>
        <v>-294783.6704205079</v>
      </c>
      <c r="P77" s="289">
        <f t="shared" si="34"/>
        <v>-289003.59845147846</v>
      </c>
      <c r="Q77" s="289">
        <f t="shared" si="34"/>
        <v>-283336.8612269396</v>
      </c>
      <c r="R77" s="289">
        <f t="shared" si="34"/>
        <v>-277781.23649699957</v>
      </c>
      <c r="S77" s="289">
        <f t="shared" si="34"/>
        <v>-272334.54558529373</v>
      </c>
      <c r="T77" s="289">
        <f t="shared" si="34"/>
        <v>-302002.62128288287</v>
      </c>
      <c r="U77" s="289">
        <f t="shared" si="34"/>
        <v>-296081.00125772826</v>
      </c>
      <c r="V77" s="289">
        <f t="shared" si="34"/>
        <v>-290275.49142914539</v>
      </c>
      <c r="W77" s="304">
        <f>SUM(B77:V77)</f>
        <v>-7135945.5476090508</v>
      </c>
      <c r="X77" s="265"/>
      <c r="Y77" s="265"/>
    </row>
    <row r="78" spans="1:25" s="264" customFormat="1" ht="18.75" x14ac:dyDescent="0.3">
      <c r="A78" s="264" t="str">
        <f>A71</f>
        <v>Семеноводство</v>
      </c>
      <c r="B78" s="289">
        <f>B66/B$74</f>
        <v>0</v>
      </c>
      <c r="C78" s="289">
        <f t="shared" ref="C78:V78" si="35">C66/C$74</f>
        <v>0</v>
      </c>
      <c r="D78" s="289">
        <f t="shared" si="35"/>
        <v>0</v>
      </c>
      <c r="E78" s="289">
        <f t="shared" si="35"/>
        <v>0</v>
      </c>
      <c r="F78" s="289">
        <f t="shared" si="35"/>
        <v>0</v>
      </c>
      <c r="G78" s="289">
        <f t="shared" si="35"/>
        <v>0</v>
      </c>
      <c r="H78" s="289">
        <f t="shared" si="35"/>
        <v>0</v>
      </c>
      <c r="I78" s="289">
        <f t="shared" si="35"/>
        <v>-682.79229695208937</v>
      </c>
      <c r="J78" s="289">
        <f t="shared" si="35"/>
        <v>1037.5765296820964</v>
      </c>
      <c r="K78" s="289">
        <f t="shared" si="35"/>
        <v>0</v>
      </c>
      <c r="L78" s="289">
        <f t="shared" si="35"/>
        <v>-643.41043127463183</v>
      </c>
      <c r="M78" s="289">
        <f t="shared" si="35"/>
        <v>977.73153772125397</v>
      </c>
      <c r="N78" s="289">
        <f t="shared" si="35"/>
        <v>0</v>
      </c>
      <c r="O78" s="289">
        <f t="shared" si="35"/>
        <v>-606.30001967063163</v>
      </c>
      <c r="P78" s="289">
        <f t="shared" si="35"/>
        <v>921.33826518576393</v>
      </c>
      <c r="Q78" s="289">
        <f t="shared" si="35"/>
        <v>0</v>
      </c>
      <c r="R78" s="289">
        <f t="shared" si="35"/>
        <v>0</v>
      </c>
      <c r="S78" s="289">
        <f t="shared" si="35"/>
        <v>0</v>
      </c>
      <c r="T78" s="289">
        <f t="shared" si="35"/>
        <v>0</v>
      </c>
      <c r="U78" s="289">
        <f t="shared" si="35"/>
        <v>0</v>
      </c>
      <c r="V78" s="289">
        <f t="shared" si="35"/>
        <v>0</v>
      </c>
      <c r="W78" s="304">
        <f>SUM(B78:V78)</f>
        <v>1004.1435846917615</v>
      </c>
      <c r="X78" s="265"/>
      <c r="Y78" s="265"/>
    </row>
    <row r="79" spans="1:25" s="264" customFormat="1" ht="18.75" x14ac:dyDescent="0.3">
      <c r="A79" s="264" t="str">
        <f>A72</f>
        <v>Сумма приростов по табл.</v>
      </c>
      <c r="B79" s="289">
        <f>B72/B$74</f>
        <v>-438788.03217410308</v>
      </c>
      <c r="C79" s="289">
        <f t="shared" ref="C79:V79" si="36">C72/C$74</f>
        <v>1273.5486351403306</v>
      </c>
      <c r="D79" s="289">
        <f t="shared" si="36"/>
        <v>0</v>
      </c>
      <c r="E79" s="289">
        <f t="shared" si="36"/>
        <v>0</v>
      </c>
      <c r="F79" s="289">
        <f t="shared" si="36"/>
        <v>3931.777445471665</v>
      </c>
      <c r="G79" s="289">
        <f t="shared" si="36"/>
        <v>3898.8159477649128</v>
      </c>
      <c r="H79" s="289">
        <f t="shared" si="36"/>
        <v>3827.8531053653796</v>
      </c>
      <c r="I79" s="289">
        <f t="shared" si="36"/>
        <v>3070.0048651708316</v>
      </c>
      <c r="J79" s="289">
        <f t="shared" si="36"/>
        <v>3009.8086913439524</v>
      </c>
      <c r="K79" s="289">
        <f t="shared" si="36"/>
        <v>52417.7953171228</v>
      </c>
      <c r="L79" s="289">
        <f t="shared" si="36"/>
        <v>50746.584977669299</v>
      </c>
      <c r="M79" s="289">
        <f t="shared" si="36"/>
        <v>49751.553899675775</v>
      </c>
      <c r="N79" s="289">
        <f t="shared" si="36"/>
        <v>48691.772689742524</v>
      </c>
      <c r="O79" s="289">
        <f t="shared" si="36"/>
        <v>47130.732029096544</v>
      </c>
      <c r="P79" s="289">
        <f t="shared" si="36"/>
        <v>43619.645643125012</v>
      </c>
      <c r="Q79" s="289">
        <f t="shared" si="36"/>
        <v>43342.52591599695</v>
      </c>
      <c r="R79" s="289">
        <f t="shared" si="36"/>
        <v>42492.672466663673</v>
      </c>
      <c r="S79" s="289">
        <f t="shared" si="36"/>
        <v>41659.482810454589</v>
      </c>
      <c r="T79" s="289">
        <f t="shared" si="36"/>
        <v>0</v>
      </c>
      <c r="U79" s="289">
        <f t="shared" si="36"/>
        <v>0</v>
      </c>
      <c r="V79" s="289">
        <f t="shared" si="36"/>
        <v>0</v>
      </c>
      <c r="W79" s="305">
        <f>SUM(B79:V79)</f>
        <v>76.542265701136785</v>
      </c>
      <c r="X79" s="265"/>
      <c r="Y79" s="265"/>
    </row>
    <row r="80" spans="1:25" s="285" customFormat="1" ht="12.75" x14ac:dyDescent="0.2">
      <c r="A80" s="285" t="s">
        <v>349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</row>
    <row r="81" spans="1:26" s="264" customFormat="1" ht="12.75" x14ac:dyDescent="0.2">
      <c r="A81" s="264" t="str">
        <f>A76</f>
        <v>Селекционера</v>
      </c>
      <c r="B81" s="289">
        <f>B76</f>
        <v>-7453.9215686274511</v>
      </c>
      <c r="C81" s="289">
        <f>B81+C76</f>
        <v>-6180.3729334871205</v>
      </c>
      <c r="D81" s="289">
        <f t="shared" ref="D81:V84" si="37">C81+D76</f>
        <v>-6180.3729334871205</v>
      </c>
      <c r="E81" s="289">
        <f t="shared" si="37"/>
        <v>-6180.3729334871205</v>
      </c>
      <c r="F81" s="289">
        <f t="shared" si="37"/>
        <v>-2248.5954880154554</v>
      </c>
      <c r="G81" s="289">
        <f t="shared" si="37"/>
        <v>1650.2204597494574</v>
      </c>
      <c r="H81" s="289">
        <f t="shared" si="37"/>
        <v>5478.073565114837</v>
      </c>
      <c r="I81" s="289">
        <f t="shared" si="37"/>
        <v>9230.8707272377578</v>
      </c>
      <c r="J81" s="289">
        <f t="shared" si="37"/>
        <v>11203.102888899613</v>
      </c>
      <c r="K81" s="289">
        <f t="shared" si="37"/>
        <v>21783.134912389491</v>
      </c>
      <c r="L81" s="289">
        <f t="shared" si="37"/>
        <v>32155.71532757565</v>
      </c>
      <c r="M81" s="289">
        <f t="shared" si="37"/>
        <v>40716.385734865689</v>
      </c>
      <c r="N81" s="289">
        <f t="shared" si="37"/>
        <v>49983.499645525393</v>
      </c>
      <c r="O81" s="289">
        <f t="shared" si="37"/>
        <v>59068.905440289804</v>
      </c>
      <c r="P81" s="289">
        <f t="shared" si="37"/>
        <v>63873.461588814564</v>
      </c>
      <c r="Q81" s="289">
        <f t="shared" si="37"/>
        <v>70065.251005385551</v>
      </c>
      <c r="R81" s="289">
        <f t="shared" si="37"/>
        <v>76135.632786337505</v>
      </c>
      <c r="S81" s="289">
        <f t="shared" si="37"/>
        <v>82086.987473545305</v>
      </c>
      <c r="T81" s="289">
        <f t="shared" si="37"/>
        <v>82086.987473545305</v>
      </c>
      <c r="U81" s="289">
        <f t="shared" si="37"/>
        <v>82086.987473545305</v>
      </c>
      <c r="V81" s="289">
        <f t="shared" si="37"/>
        <v>82086.987473545305</v>
      </c>
      <c r="W81" s="265"/>
      <c r="X81" s="265"/>
      <c r="Y81" s="265"/>
    </row>
    <row r="82" spans="1:26" s="264" customFormat="1" ht="12.75" x14ac:dyDescent="0.2">
      <c r="A82" s="264" t="str">
        <f t="shared" ref="A82:B84" si="38">A77</f>
        <v>Товарное производство</v>
      </c>
      <c r="B82" s="289">
        <f t="shared" si="38"/>
        <v>-431334.11060547567</v>
      </c>
      <c r="C82" s="289">
        <f>B82+C77</f>
        <v>-854210.68963045185</v>
      </c>
      <c r="D82" s="289">
        <f t="shared" ref="D82:R82" si="39">C82+D77</f>
        <v>-1268795.5710274873</v>
      </c>
      <c r="E82" s="289">
        <f t="shared" si="39"/>
        <v>-1675251.3371030123</v>
      </c>
      <c r="F82" s="289">
        <f t="shared" si="39"/>
        <v>-2073737.3822750954</v>
      </c>
      <c r="G82" s="289">
        <f t="shared" si="39"/>
        <v>-2464409.9755810592</v>
      </c>
      <c r="H82" s="289">
        <f t="shared" si="39"/>
        <v>-2847422.3219594555</v>
      </c>
      <c r="I82" s="289">
        <f t="shared" si="39"/>
        <v>-3222924.6223304318</v>
      </c>
      <c r="J82" s="289">
        <f t="shared" si="39"/>
        <v>-3591064.1324980557</v>
      </c>
      <c r="K82" s="289">
        <f t="shared" si="39"/>
        <v>-3910147.4576040544</v>
      </c>
      <c r="L82" s="289">
        <f t="shared" si="39"/>
        <v>-4222974.2469236609</v>
      </c>
      <c r="M82" s="289">
        <f t="shared" si="39"/>
        <v>-4529667.177629157</v>
      </c>
      <c r="N82" s="289">
        <f t="shared" si="39"/>
        <v>-4830346.5214580754</v>
      </c>
      <c r="O82" s="289">
        <f t="shared" si="39"/>
        <v>-5125130.1918785833</v>
      </c>
      <c r="P82" s="289">
        <f t="shared" si="39"/>
        <v>-5414133.7903300617</v>
      </c>
      <c r="Q82" s="289">
        <f t="shared" si="39"/>
        <v>-5697470.6515570013</v>
      </c>
      <c r="R82" s="289">
        <f t="shared" si="39"/>
        <v>-5975251.8880540011</v>
      </c>
      <c r="S82" s="289">
        <f t="shared" si="37"/>
        <v>-6247586.4336392945</v>
      </c>
      <c r="T82" s="289">
        <f t="shared" si="37"/>
        <v>-6549589.0549221775</v>
      </c>
      <c r="U82" s="289">
        <f t="shared" si="37"/>
        <v>-6845670.0561799053</v>
      </c>
      <c r="V82" s="289">
        <f t="shared" si="37"/>
        <v>-7135945.5476090508</v>
      </c>
      <c r="W82" s="265"/>
      <c r="X82" s="265"/>
      <c r="Y82" s="265"/>
    </row>
    <row r="83" spans="1:26" s="264" customFormat="1" ht="12.75" x14ac:dyDescent="0.2">
      <c r="A83" s="264" t="str">
        <f t="shared" si="38"/>
        <v>Семеноводство</v>
      </c>
      <c r="B83" s="289">
        <f t="shared" si="38"/>
        <v>0</v>
      </c>
      <c r="C83" s="289">
        <f>B83+C78</f>
        <v>0</v>
      </c>
      <c r="D83" s="289">
        <f t="shared" si="37"/>
        <v>0</v>
      </c>
      <c r="E83" s="289">
        <f t="shared" si="37"/>
        <v>0</v>
      </c>
      <c r="F83" s="289">
        <f t="shared" si="37"/>
        <v>0</v>
      </c>
      <c r="G83" s="289">
        <f t="shared" si="37"/>
        <v>0</v>
      </c>
      <c r="H83" s="289">
        <f t="shared" si="37"/>
        <v>0</v>
      </c>
      <c r="I83" s="289">
        <f t="shared" si="37"/>
        <v>-682.79229695208937</v>
      </c>
      <c r="J83" s="289">
        <f t="shared" si="37"/>
        <v>354.78423273000703</v>
      </c>
      <c r="K83" s="289">
        <f t="shared" si="37"/>
        <v>354.78423273000703</v>
      </c>
      <c r="L83" s="289">
        <f t="shared" si="37"/>
        <v>-288.6261985446248</v>
      </c>
      <c r="M83" s="289">
        <f t="shared" si="37"/>
        <v>689.10533917662917</v>
      </c>
      <c r="N83" s="289">
        <f t="shared" si="37"/>
        <v>689.10533917662917</v>
      </c>
      <c r="O83" s="289">
        <f t="shared" si="37"/>
        <v>82.805319505997545</v>
      </c>
      <c r="P83" s="289">
        <f t="shared" si="37"/>
        <v>1004.1435846917615</v>
      </c>
      <c r="Q83" s="289">
        <f t="shared" si="37"/>
        <v>1004.1435846917615</v>
      </c>
      <c r="R83" s="289">
        <f t="shared" si="37"/>
        <v>1004.1435846917615</v>
      </c>
      <c r="S83" s="289">
        <f t="shared" si="37"/>
        <v>1004.1435846917615</v>
      </c>
      <c r="T83" s="289">
        <f t="shared" si="37"/>
        <v>1004.1435846917615</v>
      </c>
      <c r="U83" s="289">
        <f t="shared" si="37"/>
        <v>1004.1435846917615</v>
      </c>
      <c r="V83" s="289">
        <f t="shared" si="37"/>
        <v>1004.1435846917615</v>
      </c>
      <c r="W83" s="265"/>
      <c r="X83" s="265"/>
      <c r="Y83" s="265"/>
    </row>
    <row r="84" spans="1:26" s="264" customFormat="1" ht="12.75" x14ac:dyDescent="0.2">
      <c r="A84" s="264" t="str">
        <f t="shared" si="38"/>
        <v>Сумма приростов по табл.</v>
      </c>
      <c r="B84" s="289">
        <f t="shared" si="38"/>
        <v>-438788.03217410308</v>
      </c>
      <c r="C84" s="289">
        <f>B84+C79</f>
        <v>-437514.48353896273</v>
      </c>
      <c r="D84" s="289">
        <f t="shared" si="37"/>
        <v>-437514.48353896273</v>
      </c>
      <c r="E84" s="289">
        <f t="shared" si="37"/>
        <v>-437514.48353896273</v>
      </c>
      <c r="F84" s="289">
        <f t="shared" si="37"/>
        <v>-433582.70609349106</v>
      </c>
      <c r="G84" s="289">
        <f t="shared" si="37"/>
        <v>-429683.89014572615</v>
      </c>
      <c r="H84" s="289">
        <f t="shared" si="37"/>
        <v>-425856.0370403608</v>
      </c>
      <c r="I84" s="289">
        <f t="shared" si="37"/>
        <v>-422786.03217518999</v>
      </c>
      <c r="J84" s="289">
        <f t="shared" si="37"/>
        <v>-419776.22348384606</v>
      </c>
      <c r="K84" s="289">
        <f t="shared" si="37"/>
        <v>-367358.42816672323</v>
      </c>
      <c r="L84" s="289">
        <f t="shared" si="37"/>
        <v>-316611.84318905394</v>
      </c>
      <c r="M84" s="289">
        <f t="shared" si="37"/>
        <v>-266860.28928937815</v>
      </c>
      <c r="N84" s="289">
        <f t="shared" si="37"/>
        <v>-218168.51659963562</v>
      </c>
      <c r="O84" s="289">
        <f t="shared" si="37"/>
        <v>-171037.78457053908</v>
      </c>
      <c r="P84" s="289">
        <f t="shared" si="37"/>
        <v>-127418.13892741407</v>
      </c>
      <c r="Q84" s="289">
        <f t="shared" si="37"/>
        <v>-84075.613011417125</v>
      </c>
      <c r="R84" s="289">
        <f t="shared" si="37"/>
        <v>-41582.940544753452</v>
      </c>
      <c r="S84" s="289">
        <f t="shared" si="37"/>
        <v>76.542265701136785</v>
      </c>
      <c r="T84" s="289">
        <f t="shared" si="37"/>
        <v>76.542265701136785</v>
      </c>
      <c r="U84" s="289">
        <f t="shared" si="37"/>
        <v>76.542265701136785</v>
      </c>
      <c r="V84" s="289">
        <f t="shared" si="37"/>
        <v>76.542265701136785</v>
      </c>
      <c r="W84" s="265"/>
      <c r="X84" s="265"/>
      <c r="Y84" s="265"/>
    </row>
    <row r="85" spans="1:26" s="188" customFormat="1" x14ac:dyDescent="0.25">
      <c r="A85" s="188" t="s">
        <v>351</v>
      </c>
      <c r="B85" s="47"/>
      <c r="C85" s="47"/>
      <c r="D85" s="47"/>
      <c r="E85" s="47"/>
      <c r="F85" s="198"/>
      <c r="I85" s="198"/>
      <c r="N85" s="198"/>
    </row>
    <row r="86" spans="1:26" x14ac:dyDescent="0.25">
      <c r="A86" t="str">
        <f>A64</f>
        <v>Селекционера</v>
      </c>
      <c r="B86" s="64">
        <f>IF(AND(B81&lt;0,C81&gt;0),B$2+(-B81/(-B81+C81)),0)</f>
        <v>0</v>
      </c>
      <c r="C86" s="64">
        <f t="shared" ref="C86:S89" si="40">IF(AND(C81&lt;0,D81&gt;0),C$2+(-C81/(-C81+D81)),0)</f>
        <v>0</v>
      </c>
      <c r="D86" s="64">
        <f t="shared" si="40"/>
        <v>0</v>
      </c>
      <c r="E86" s="64">
        <f t="shared" si="40"/>
        <v>0</v>
      </c>
      <c r="F86" s="64">
        <f t="shared" si="40"/>
        <v>5.5767380451248325</v>
      </c>
      <c r="G86" s="64">
        <f t="shared" si="40"/>
        <v>0</v>
      </c>
      <c r="H86" s="64">
        <f t="shared" si="40"/>
        <v>0</v>
      </c>
      <c r="I86" s="64">
        <f t="shared" si="40"/>
        <v>0</v>
      </c>
      <c r="J86" s="64">
        <f t="shared" si="40"/>
        <v>0</v>
      </c>
      <c r="K86" s="64">
        <f t="shared" si="40"/>
        <v>0</v>
      </c>
      <c r="L86" s="64">
        <f t="shared" si="40"/>
        <v>0</v>
      </c>
      <c r="M86" s="64">
        <f t="shared" si="40"/>
        <v>0</v>
      </c>
      <c r="N86" s="64">
        <f t="shared" si="40"/>
        <v>0</v>
      </c>
      <c r="O86" s="64">
        <f t="shared" si="40"/>
        <v>0</v>
      </c>
      <c r="P86" s="64">
        <f t="shared" si="40"/>
        <v>0</v>
      </c>
      <c r="Q86" s="64">
        <f t="shared" si="40"/>
        <v>0</v>
      </c>
      <c r="R86" s="64">
        <f t="shared" si="40"/>
        <v>0</v>
      </c>
      <c r="S86" s="64">
        <f t="shared" si="40"/>
        <v>0</v>
      </c>
      <c r="T86" s="64">
        <f t="shared" ref="T86:V89" si="41">IF(AND(T81&lt;0,V81&gt;0),T$2+(-T81/(-T81+V81)),0)</f>
        <v>0</v>
      </c>
      <c r="U86" s="64">
        <f t="shared" si="41"/>
        <v>0</v>
      </c>
      <c r="V86" s="64">
        <f t="shared" si="41"/>
        <v>0</v>
      </c>
      <c r="W86" s="279" t="s">
        <v>346</v>
      </c>
      <c r="X86" s="280">
        <f>MAX(B86:V86)</f>
        <v>5.5767380451248325</v>
      </c>
      <c r="Y86" s="588" t="s">
        <v>370</v>
      </c>
      <c r="Z86" s="588"/>
    </row>
    <row r="87" spans="1:26" x14ac:dyDescent="0.25">
      <c r="A87" t="str">
        <f>A65</f>
        <v>Товарное производство</v>
      </c>
      <c r="B87" s="64">
        <f>IF(AND(B82&lt;0,C82&gt;0),B$2+(-B82/(-B82+C82)),0)</f>
        <v>0</v>
      </c>
      <c r="C87" s="64">
        <f t="shared" ref="C87:Q87" si="42">IF(AND(C82&lt;0,D82&gt;0),C$2+(-C82/(-C82+D82)),0)</f>
        <v>0</v>
      </c>
      <c r="D87" s="64">
        <f t="shared" si="42"/>
        <v>0</v>
      </c>
      <c r="E87" s="64">
        <f t="shared" si="42"/>
        <v>0</v>
      </c>
      <c r="F87" s="64">
        <f t="shared" si="42"/>
        <v>0</v>
      </c>
      <c r="G87" s="64">
        <f t="shared" si="42"/>
        <v>0</v>
      </c>
      <c r="H87" s="64">
        <f t="shared" si="42"/>
        <v>0</v>
      </c>
      <c r="I87" s="64">
        <f t="shared" si="42"/>
        <v>0</v>
      </c>
      <c r="J87" s="64">
        <f t="shared" si="42"/>
        <v>0</v>
      </c>
      <c r="K87" s="64">
        <f t="shared" si="42"/>
        <v>0</v>
      </c>
      <c r="L87" s="64">
        <f t="shared" si="42"/>
        <v>0</v>
      </c>
      <c r="M87" s="64">
        <f t="shared" si="42"/>
        <v>0</v>
      </c>
      <c r="N87" s="64">
        <f t="shared" si="42"/>
        <v>0</v>
      </c>
      <c r="O87" s="64">
        <f t="shared" si="42"/>
        <v>0</v>
      </c>
      <c r="P87" s="64">
        <f t="shared" si="42"/>
        <v>0</v>
      </c>
      <c r="Q87" s="64">
        <f t="shared" si="42"/>
        <v>0</v>
      </c>
      <c r="R87" s="64">
        <f t="shared" si="40"/>
        <v>0</v>
      </c>
      <c r="S87" s="64">
        <f t="shared" si="40"/>
        <v>0</v>
      </c>
      <c r="T87" s="64">
        <f t="shared" si="41"/>
        <v>0</v>
      </c>
      <c r="U87" s="64">
        <f t="shared" si="41"/>
        <v>0</v>
      </c>
      <c r="V87" s="64">
        <f t="shared" si="41"/>
        <v>0</v>
      </c>
      <c r="W87" s="279" t="s">
        <v>346</v>
      </c>
      <c r="X87" s="280">
        <f>MAX(B87:V87)</f>
        <v>0</v>
      </c>
      <c r="Y87" s="588"/>
      <c r="Z87" s="588"/>
    </row>
    <row r="88" spans="1:26" x14ac:dyDescent="0.25">
      <c r="A88" t="str">
        <f>A66</f>
        <v>Семеноводство</v>
      </c>
      <c r="B88" s="64">
        <f>IF(AND(B83&lt;0,C83&gt;0),B$2+(-B83/(-B83+C83)),0)</f>
        <v>0</v>
      </c>
      <c r="C88" s="64">
        <f t="shared" si="40"/>
        <v>0</v>
      </c>
      <c r="D88" s="64">
        <f t="shared" si="40"/>
        <v>0</v>
      </c>
      <c r="E88" s="64">
        <f t="shared" si="40"/>
        <v>0</v>
      </c>
      <c r="F88" s="64">
        <f t="shared" si="40"/>
        <v>0</v>
      </c>
      <c r="G88" s="64">
        <f t="shared" si="40"/>
        <v>0</v>
      </c>
      <c r="H88" s="64">
        <f t="shared" si="40"/>
        <v>0</v>
      </c>
      <c r="I88" s="64">
        <f t="shared" si="40"/>
        <v>8.6580645161290324</v>
      </c>
      <c r="J88" s="64">
        <f t="shared" si="40"/>
        <v>0</v>
      </c>
      <c r="K88" s="64">
        <f t="shared" si="40"/>
        <v>0</v>
      </c>
      <c r="L88" s="64">
        <f t="shared" si="40"/>
        <v>11.29519984516129</v>
      </c>
      <c r="M88" s="64">
        <f t="shared" si="40"/>
        <v>0</v>
      </c>
      <c r="N88" s="64">
        <f t="shared" si="40"/>
        <v>0</v>
      </c>
      <c r="O88" s="64">
        <f t="shared" si="40"/>
        <v>0</v>
      </c>
      <c r="P88" s="64">
        <f t="shared" si="40"/>
        <v>0</v>
      </c>
      <c r="Q88" s="64">
        <f t="shared" si="40"/>
        <v>0</v>
      </c>
      <c r="R88" s="64">
        <f t="shared" si="40"/>
        <v>0</v>
      </c>
      <c r="S88" s="64">
        <f t="shared" si="40"/>
        <v>0</v>
      </c>
      <c r="T88" s="64">
        <f t="shared" si="41"/>
        <v>0</v>
      </c>
      <c r="U88" s="64">
        <f t="shared" si="41"/>
        <v>0</v>
      </c>
      <c r="V88" s="64">
        <f t="shared" si="41"/>
        <v>0</v>
      </c>
      <c r="W88" s="279" t="s">
        <v>346</v>
      </c>
      <c r="X88" s="290">
        <f>MAX(B88:V88)</f>
        <v>11.29519984516129</v>
      </c>
      <c r="Y88" s="588"/>
      <c r="Z88" s="588"/>
    </row>
    <row r="89" spans="1:26" x14ac:dyDescent="0.25">
      <c r="A89" t="s">
        <v>327</v>
      </c>
      <c r="B89" s="64">
        <f>IF(AND(B84&lt;0,C84&gt;0),B$2+(-B84/(-B84+C84)),0)</f>
        <v>0</v>
      </c>
      <c r="C89" s="64">
        <f t="shared" si="40"/>
        <v>0</v>
      </c>
      <c r="D89" s="64">
        <f t="shared" si="40"/>
        <v>0</v>
      </c>
      <c r="E89" s="64">
        <f t="shared" si="40"/>
        <v>0</v>
      </c>
      <c r="F89" s="64">
        <f t="shared" si="40"/>
        <v>0</v>
      </c>
      <c r="G89" s="64">
        <f t="shared" si="40"/>
        <v>0</v>
      </c>
      <c r="H89" s="64">
        <f t="shared" si="40"/>
        <v>0</v>
      </c>
      <c r="I89" s="64">
        <f t="shared" si="40"/>
        <v>0</v>
      </c>
      <c r="J89" s="64">
        <f t="shared" si="40"/>
        <v>0</v>
      </c>
      <c r="K89" s="64">
        <f t="shared" si="40"/>
        <v>0</v>
      </c>
      <c r="L89" s="64">
        <f t="shared" si="40"/>
        <v>0</v>
      </c>
      <c r="M89" s="64">
        <f t="shared" si="40"/>
        <v>0</v>
      </c>
      <c r="N89" s="64">
        <f t="shared" si="40"/>
        <v>0</v>
      </c>
      <c r="O89" s="64">
        <f t="shared" si="40"/>
        <v>0</v>
      </c>
      <c r="P89" s="64">
        <f t="shared" si="40"/>
        <v>0</v>
      </c>
      <c r="Q89" s="64">
        <f t="shared" si="40"/>
        <v>0</v>
      </c>
      <c r="R89" s="64">
        <f t="shared" si="40"/>
        <v>17.998162668844223</v>
      </c>
      <c r="S89" s="64">
        <f t="shared" si="40"/>
        <v>0</v>
      </c>
      <c r="T89" s="64">
        <f t="shared" si="41"/>
        <v>0</v>
      </c>
      <c r="U89" s="64">
        <f t="shared" si="41"/>
        <v>0</v>
      </c>
      <c r="V89" s="64">
        <f t="shared" si="41"/>
        <v>0</v>
      </c>
      <c r="W89" s="279" t="s">
        <v>346</v>
      </c>
      <c r="X89" s="280">
        <f>MAX(B89:V89)</f>
        <v>17.998162668844223</v>
      </c>
      <c r="Y89" s="588"/>
      <c r="Z89" s="588"/>
    </row>
    <row r="90" spans="1:26" s="47" customFormat="1" ht="15.75" thickBot="1" x14ac:dyDescent="0.3">
      <c r="A90" s="47" t="s">
        <v>352</v>
      </c>
      <c r="F90" s="145"/>
      <c r="I90" s="145"/>
      <c r="N90" s="145"/>
    </row>
    <row r="91" spans="1:26" ht="67.900000000000006" customHeight="1" thickBot="1" x14ac:dyDescent="0.3">
      <c r="A91" t="s">
        <v>320</v>
      </c>
      <c r="B91" s="595" t="s">
        <v>501</v>
      </c>
      <c r="C91" s="595"/>
      <c r="D91" s="595"/>
      <c r="E91" s="595"/>
      <c r="F91" s="595"/>
      <c r="G91" s="595"/>
      <c r="H91" s="595"/>
      <c r="I91" s="595"/>
      <c r="J91" s="595"/>
      <c r="K91" s="595"/>
      <c r="L91" s="595"/>
      <c r="M91" s="595"/>
      <c r="N91" s="596" t="s">
        <v>502</v>
      </c>
      <c r="O91" s="596"/>
      <c r="P91" s="536" t="s">
        <v>355</v>
      </c>
      <c r="Q91" s="536"/>
      <c r="R91" s="597" t="s">
        <v>356</v>
      </c>
      <c r="S91" s="597"/>
      <c r="T91" s="581" t="s">
        <v>283</v>
      </c>
      <c r="U91" s="582"/>
      <c r="V91" s="582"/>
    </row>
    <row r="92" spans="1:26" ht="15.75" thickBot="1" x14ac:dyDescent="0.3">
      <c r="A92" t="s">
        <v>336</v>
      </c>
      <c r="B92" s="583" t="s">
        <v>363</v>
      </c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5"/>
    </row>
    <row r="93" spans="1:26" x14ac:dyDescent="0.25">
      <c r="A93" t="s">
        <v>322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T93" s="577" t="s">
        <v>365</v>
      </c>
      <c r="U93" s="577"/>
      <c r="V93" s="577"/>
    </row>
    <row r="94" spans="1:26" x14ac:dyDescent="0.25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</row>
    <row r="95" spans="1:26" ht="14.45" customHeight="1" thickBot="1" x14ac:dyDescent="0.3">
      <c r="A95" s="47" t="s">
        <v>357</v>
      </c>
      <c r="B95" s="299"/>
      <c r="C95" s="299"/>
      <c r="D95" s="299"/>
      <c r="E95" s="299"/>
      <c r="F95" s="299"/>
      <c r="G95" s="299"/>
      <c r="H95" s="299"/>
      <c r="I95" s="299"/>
      <c r="J95" s="299"/>
      <c r="K95" s="94"/>
      <c r="L95" s="297"/>
      <c r="M95" s="297"/>
      <c r="N95" s="297"/>
      <c r="O95" s="297"/>
      <c r="P95" s="298"/>
      <c r="Q95" s="298"/>
      <c r="R95" s="298"/>
      <c r="S95" s="298"/>
      <c r="T95" s="298"/>
      <c r="U95" s="298"/>
      <c r="V95" s="298"/>
    </row>
    <row r="96" spans="1:26" s="292" customFormat="1" ht="120.75" thickBot="1" x14ac:dyDescent="0.3">
      <c r="A96" s="292" t="s">
        <v>320</v>
      </c>
      <c r="B96" s="293" t="s">
        <v>358</v>
      </c>
      <c r="C96" s="294" t="s">
        <v>504</v>
      </c>
      <c r="D96" s="578" t="s">
        <v>359</v>
      </c>
      <c r="E96" s="578"/>
      <c r="F96" s="296" t="s">
        <v>503</v>
      </c>
      <c r="G96" s="579" t="s">
        <v>361</v>
      </c>
      <c r="H96" s="579"/>
      <c r="I96" s="580" t="s">
        <v>362</v>
      </c>
      <c r="J96" s="580"/>
      <c r="K96" s="581" t="s">
        <v>283</v>
      </c>
      <c r="L96" s="582"/>
      <c r="M96" s="582"/>
      <c r="N96" s="582"/>
      <c r="O96" s="582"/>
      <c r="P96" s="582"/>
      <c r="Q96" s="582"/>
      <c r="R96" s="582"/>
      <c r="S96" s="582"/>
      <c r="T96" s="582"/>
      <c r="U96" s="582"/>
      <c r="V96" s="582"/>
      <c r="W96" s="295"/>
      <c r="X96" s="295"/>
      <c r="Y96" s="295"/>
    </row>
    <row r="97" spans="1:25" ht="15.75" thickBot="1" x14ac:dyDescent="0.3">
      <c r="A97" t="str">
        <f>A92</f>
        <v>Товарное овощеводство</v>
      </c>
      <c r="B97" s="583" t="s">
        <v>363</v>
      </c>
      <c r="C97" s="584"/>
      <c r="D97" s="584"/>
      <c r="E97" s="584"/>
      <c r="F97" s="584"/>
      <c r="G97" s="584"/>
      <c r="H97" s="584"/>
      <c r="I97" s="584"/>
      <c r="J97" s="585"/>
      <c r="K97" s="586" t="s">
        <v>364</v>
      </c>
      <c r="L97" s="587"/>
      <c r="M97" s="587"/>
      <c r="N97" s="587"/>
      <c r="O97" s="587"/>
      <c r="P97" s="587"/>
      <c r="Q97" s="587"/>
      <c r="R97" s="587"/>
      <c r="S97" s="587"/>
      <c r="T97" s="587"/>
      <c r="U97" s="587"/>
      <c r="V97" s="587"/>
    </row>
    <row r="98" spans="1:25" x14ac:dyDescent="0.25">
      <c r="A98" t="s">
        <v>322</v>
      </c>
      <c r="K98" s="577" t="s">
        <v>365</v>
      </c>
      <c r="L98" s="577"/>
      <c r="M98" s="577"/>
      <c r="N98" s="577"/>
      <c r="O98" s="577"/>
      <c r="P98" s="577"/>
      <c r="Q98" s="577"/>
      <c r="R98" s="577"/>
      <c r="S98" s="577"/>
      <c r="T98" s="577"/>
      <c r="U98" s="577"/>
      <c r="V98" s="577"/>
    </row>
    <row r="99" spans="1:25" s="94" customFormat="1" x14ac:dyDescent="0.25">
      <c r="W99" s="118"/>
      <c r="X99" s="118"/>
      <c r="Y99" s="118"/>
    </row>
    <row r="100" spans="1:25" s="94" customFormat="1" x14ac:dyDescent="0.25">
      <c r="A100" s="301" t="s">
        <v>369</v>
      </c>
      <c r="B100" s="302">
        <f>B53</f>
        <v>-12000</v>
      </c>
      <c r="C100" s="302">
        <f t="shared" ref="C100:V100" si="43">C53</f>
        <v>-15072</v>
      </c>
      <c r="D100" s="302">
        <f t="shared" si="43"/>
        <v>-19469</v>
      </c>
      <c r="E100" s="302">
        <f t="shared" si="43"/>
        <v>-23866</v>
      </c>
      <c r="F100" s="302">
        <f t="shared" si="43"/>
        <v>-23922</v>
      </c>
      <c r="G100" s="302">
        <f t="shared" si="43"/>
        <v>-23928.3</v>
      </c>
      <c r="H100" s="302">
        <f t="shared" si="43"/>
        <v>-23928.3</v>
      </c>
      <c r="I100" s="302">
        <f t="shared" si="43"/>
        <v>-23928.3</v>
      </c>
      <c r="J100" s="302">
        <f t="shared" si="43"/>
        <v>-25968.3</v>
      </c>
      <c r="K100" s="302">
        <f t="shared" si="43"/>
        <v>-17468.3</v>
      </c>
      <c r="L100" s="302">
        <f t="shared" si="43"/>
        <v>-8968.2999999999993</v>
      </c>
      <c r="M100" s="302">
        <f t="shared" si="43"/>
        <v>-2508.2999999999993</v>
      </c>
      <c r="N100" s="302">
        <f t="shared" si="43"/>
        <v>5991.7000000000007</v>
      </c>
      <c r="O100" s="302">
        <f t="shared" si="43"/>
        <v>14491.7</v>
      </c>
      <c r="P100" s="302">
        <f t="shared" si="43"/>
        <v>20951.7</v>
      </c>
      <c r="Q100" s="302">
        <f t="shared" si="43"/>
        <v>29451.7</v>
      </c>
      <c r="R100" s="302">
        <f t="shared" si="43"/>
        <v>37951.699999999997</v>
      </c>
      <c r="S100" s="302">
        <f t="shared" si="43"/>
        <v>44411.7</v>
      </c>
      <c r="T100" s="302">
        <f t="shared" si="43"/>
        <v>52911.7</v>
      </c>
      <c r="U100" s="302"/>
      <c r="V100" s="302">
        <f t="shared" si="43"/>
        <v>69911.7</v>
      </c>
      <c r="W100" s="118"/>
      <c r="X100" s="118"/>
      <c r="Y100" s="118"/>
    </row>
    <row r="101" spans="1:25" s="94" customFormat="1" x14ac:dyDescent="0.25">
      <c r="A101" s="300" t="s">
        <v>368</v>
      </c>
      <c r="B101" s="303">
        <f>B24</f>
        <v>-4397</v>
      </c>
      <c r="C101" s="303">
        <f t="shared" ref="C101:V101" si="44">C24</f>
        <v>-8794</v>
      </c>
      <c r="D101" s="303">
        <f t="shared" si="44"/>
        <v>-13191</v>
      </c>
      <c r="E101" s="303">
        <f t="shared" si="44"/>
        <v>-17588</v>
      </c>
      <c r="F101" s="303">
        <f t="shared" si="44"/>
        <v>-21985</v>
      </c>
      <c r="G101" s="303">
        <f t="shared" si="44"/>
        <v>-26382</v>
      </c>
      <c r="H101" s="303">
        <f t="shared" si="44"/>
        <v>-30779</v>
      </c>
      <c r="I101" s="303">
        <f t="shared" si="44"/>
        <v>-35176</v>
      </c>
      <c r="J101" s="303">
        <f t="shared" si="44"/>
        <v>-39573</v>
      </c>
      <c r="K101" s="303">
        <f t="shared" si="44"/>
        <v>-43970</v>
      </c>
      <c r="L101" s="303">
        <f t="shared" si="44"/>
        <v>-48367</v>
      </c>
      <c r="M101" s="303">
        <f t="shared" si="44"/>
        <v>-52764</v>
      </c>
      <c r="N101" s="303">
        <f t="shared" si="44"/>
        <v>-56252</v>
      </c>
      <c r="O101" s="303">
        <f t="shared" si="44"/>
        <v>-59740</v>
      </c>
      <c r="P101" s="303">
        <f t="shared" si="44"/>
        <v>-59746.3</v>
      </c>
      <c r="Q101" s="303">
        <f t="shared" si="44"/>
        <v>-59746.3</v>
      </c>
      <c r="R101" s="303">
        <f t="shared" si="44"/>
        <v>-59746.3</v>
      </c>
      <c r="S101" s="303">
        <f t="shared" si="44"/>
        <v>-61786.3</v>
      </c>
      <c r="T101" s="303">
        <f t="shared" si="44"/>
        <v>-53286.3</v>
      </c>
      <c r="U101" s="303"/>
      <c r="V101" s="303">
        <f t="shared" si="44"/>
        <v>-36286.300000000003</v>
      </c>
      <c r="W101" s="118"/>
      <c r="X101" s="118"/>
      <c r="Y101" s="118"/>
    </row>
    <row r="102" spans="1:25" s="94" customFormat="1" x14ac:dyDescent="0.25">
      <c r="W102" s="118"/>
      <c r="X102" s="118"/>
      <c r="Y102" s="118"/>
    </row>
    <row r="103" spans="1:25" s="94" customFormat="1" x14ac:dyDescent="0.25">
      <c r="A103" s="222" t="s">
        <v>367</v>
      </c>
      <c r="B103" s="118">
        <f>8500+8500+(8500-2000)</f>
        <v>23500</v>
      </c>
      <c r="W103" s="118"/>
      <c r="X103" s="118"/>
      <c r="Y103" s="118"/>
    </row>
    <row r="104" spans="1:25" s="94" customFormat="1" x14ac:dyDescent="0.25">
      <c r="A104" s="405" t="s">
        <v>406</v>
      </c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08"/>
      <c r="X104" s="408"/>
    </row>
    <row r="105" spans="1:25" s="94" customFormat="1" x14ac:dyDescent="0.25">
      <c r="A105" s="405" t="s">
        <v>407</v>
      </c>
      <c r="B105" s="408">
        <v>0</v>
      </c>
      <c r="C105" s="408">
        <f>B105+1</f>
        <v>1</v>
      </c>
      <c r="D105" s="408">
        <f t="shared" ref="D105:W105" si="45">C105+1</f>
        <v>2</v>
      </c>
      <c r="E105" s="408">
        <f t="shared" si="45"/>
        <v>3</v>
      </c>
      <c r="F105" s="408">
        <f t="shared" si="45"/>
        <v>4</v>
      </c>
      <c r="G105" s="408">
        <f t="shared" si="45"/>
        <v>5</v>
      </c>
      <c r="H105" s="408">
        <f t="shared" si="45"/>
        <v>6</v>
      </c>
      <c r="I105" s="408">
        <f t="shared" si="45"/>
        <v>7</v>
      </c>
      <c r="J105" s="408">
        <f t="shared" si="45"/>
        <v>8</v>
      </c>
      <c r="K105" s="408">
        <f t="shared" si="45"/>
        <v>9</v>
      </c>
      <c r="L105" s="408">
        <f t="shared" si="45"/>
        <v>10</v>
      </c>
      <c r="M105" s="408">
        <f t="shared" si="45"/>
        <v>11</v>
      </c>
      <c r="N105" s="408">
        <f t="shared" si="45"/>
        <v>12</v>
      </c>
      <c r="O105" s="408">
        <f t="shared" si="45"/>
        <v>13</v>
      </c>
      <c r="P105" s="408">
        <f t="shared" si="45"/>
        <v>14</v>
      </c>
      <c r="Q105" s="408">
        <f t="shared" si="45"/>
        <v>15</v>
      </c>
      <c r="R105" s="408">
        <f t="shared" si="45"/>
        <v>16</v>
      </c>
      <c r="S105" s="408">
        <f t="shared" si="45"/>
        <v>17</v>
      </c>
      <c r="T105" s="408">
        <f t="shared" si="45"/>
        <v>18</v>
      </c>
      <c r="U105" s="408">
        <f t="shared" si="45"/>
        <v>19</v>
      </c>
      <c r="V105" s="408">
        <f t="shared" si="45"/>
        <v>20</v>
      </c>
      <c r="W105" s="408">
        <f t="shared" si="45"/>
        <v>21</v>
      </c>
      <c r="X105" s="408"/>
    </row>
    <row r="106" spans="1:25" s="94" customFormat="1" x14ac:dyDescent="0.25">
      <c r="A106" s="405"/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08"/>
      <c r="X106" s="408"/>
    </row>
    <row r="107" spans="1:25" s="410" customFormat="1" ht="12" x14ac:dyDescent="0.2">
      <c r="A107" s="410" t="s">
        <v>408</v>
      </c>
      <c r="B107" s="412">
        <f>B35</f>
        <v>747370.21295061102</v>
      </c>
      <c r="C107" s="412">
        <f t="shared" ref="C107:V107" si="46">C35</f>
        <v>738442.21295061102</v>
      </c>
      <c r="D107" s="412">
        <f t="shared" si="46"/>
        <v>739767.21295061102</v>
      </c>
      <c r="E107" s="412">
        <f t="shared" si="46"/>
        <v>739767.21295061102</v>
      </c>
      <c r="F107" s="412">
        <f t="shared" si="46"/>
        <v>735426.21295061102</v>
      </c>
      <c r="G107" s="412">
        <f t="shared" si="46"/>
        <v>735376.51295061107</v>
      </c>
      <c r="H107" s="412">
        <f t="shared" si="46"/>
        <v>735370.21295061102</v>
      </c>
      <c r="I107" s="412">
        <f t="shared" si="46"/>
        <v>736170.21295061102</v>
      </c>
      <c r="J107" s="412">
        <f t="shared" si="46"/>
        <v>738210.21295061102</v>
      </c>
      <c r="K107" s="412">
        <f t="shared" si="46"/>
        <v>684370.21295061102</v>
      </c>
      <c r="L107" s="412">
        <f t="shared" si="46"/>
        <v>685170.21295061102</v>
      </c>
      <c r="M107" s="412">
        <f t="shared" si="46"/>
        <v>687210.21295061102</v>
      </c>
      <c r="N107" s="412">
        <f t="shared" si="46"/>
        <v>684370.21295061102</v>
      </c>
      <c r="O107" s="412">
        <f t="shared" si="46"/>
        <v>685170.21295061102</v>
      </c>
      <c r="P107" s="412">
        <f t="shared" si="46"/>
        <v>687210.21295061102</v>
      </c>
      <c r="Q107" s="412">
        <f t="shared" si="46"/>
        <v>684370.21295061102</v>
      </c>
      <c r="R107" s="412">
        <f t="shared" si="46"/>
        <v>685170.21295061102</v>
      </c>
      <c r="S107" s="412">
        <f t="shared" si="46"/>
        <v>687210.21295061102</v>
      </c>
      <c r="T107" s="412">
        <f t="shared" si="46"/>
        <v>684370.21295061102</v>
      </c>
      <c r="U107" s="412">
        <f t="shared" si="46"/>
        <v>684370.21295061102</v>
      </c>
      <c r="V107" s="412">
        <f t="shared" si="46"/>
        <v>684370.21295061102</v>
      </c>
      <c r="W107" s="414" t="s">
        <v>82</v>
      </c>
      <c r="X107" s="413">
        <f>SUM(B107:W107)</f>
        <v>14869262.771962838</v>
      </c>
    </row>
    <row r="108" spans="1:25" s="410" customFormat="1" ht="12" x14ac:dyDescent="0.2">
      <c r="A108" s="410" t="s">
        <v>409</v>
      </c>
      <c r="C108" s="412">
        <f>B40</f>
        <v>2165409.4201330259</v>
      </c>
      <c r="D108" s="412">
        <f t="shared" ref="D108:V108" si="47">C40</f>
        <v>2165409.4201330259</v>
      </c>
      <c r="E108" s="412">
        <f t="shared" si="47"/>
        <v>2165409.4201330259</v>
      </c>
      <c r="F108" s="412">
        <f t="shared" si="47"/>
        <v>2165409.4201330259</v>
      </c>
      <c r="G108" s="412">
        <f t="shared" si="47"/>
        <v>2165409.4201330259</v>
      </c>
      <c r="H108" s="412">
        <f t="shared" si="47"/>
        <v>2165409.4201330259</v>
      </c>
      <c r="I108" s="412">
        <f t="shared" si="47"/>
        <v>2165409.4201330259</v>
      </c>
      <c r="J108" s="412">
        <f t="shared" si="47"/>
        <v>2165409.4201330259</v>
      </c>
      <c r="K108" s="412">
        <f t="shared" si="47"/>
        <v>2167449.4201330259</v>
      </c>
      <c r="L108" s="412">
        <f t="shared" si="47"/>
        <v>2173909.4201330259</v>
      </c>
      <c r="M108" s="412">
        <f t="shared" si="47"/>
        <v>2173909.4201330259</v>
      </c>
      <c r="N108" s="412">
        <f t="shared" si="47"/>
        <v>2175949.4201330259</v>
      </c>
      <c r="O108" s="412">
        <f t="shared" si="47"/>
        <v>2173909.4201330259</v>
      </c>
      <c r="P108" s="412">
        <f t="shared" si="47"/>
        <v>2173909.4201330259</v>
      </c>
      <c r="Q108" s="412">
        <f t="shared" si="47"/>
        <v>2175949.4201330259</v>
      </c>
      <c r="R108" s="412">
        <f t="shared" si="47"/>
        <v>2173909.4201330259</v>
      </c>
      <c r="S108" s="412">
        <f t="shared" si="47"/>
        <v>2173909.4201330259</v>
      </c>
      <c r="T108" s="412">
        <f t="shared" si="47"/>
        <v>2175949.4201330259</v>
      </c>
      <c r="U108" s="412">
        <f t="shared" si="47"/>
        <v>2173909.4201330259</v>
      </c>
      <c r="V108" s="412">
        <f t="shared" si="47"/>
        <v>2173909.4201330259</v>
      </c>
      <c r="W108" s="413">
        <f>V89</f>
        <v>0</v>
      </c>
      <c r="X108" s="413">
        <f>SUM(B108:W108)</f>
        <v>43409848.402660504</v>
      </c>
    </row>
    <row r="109" spans="1:25" s="411" customFormat="1" ht="11.25" x14ac:dyDescent="0.2">
      <c r="A109" s="411" t="s">
        <v>410</v>
      </c>
      <c r="B109" s="412">
        <f>B108-B107</f>
        <v>-747370.21295061102</v>
      </c>
      <c r="C109" s="412">
        <f t="shared" ref="C109:V109" si="48">C108-C107</f>
        <v>1426967.2071824148</v>
      </c>
      <c r="D109" s="412">
        <f t="shared" si="48"/>
        <v>1425642.2071824148</v>
      </c>
      <c r="E109" s="412">
        <f t="shared" si="48"/>
        <v>1425642.2071824148</v>
      </c>
      <c r="F109" s="412">
        <f t="shared" si="48"/>
        <v>1429983.2071824148</v>
      </c>
      <c r="G109" s="412">
        <f t="shared" si="48"/>
        <v>1430032.9071824148</v>
      </c>
      <c r="H109" s="412">
        <f t="shared" si="48"/>
        <v>1430039.2071824148</v>
      </c>
      <c r="I109" s="412">
        <f t="shared" si="48"/>
        <v>1429239.2071824148</v>
      </c>
      <c r="J109" s="412">
        <f t="shared" si="48"/>
        <v>1427199.2071824148</v>
      </c>
      <c r="K109" s="412">
        <f t="shared" si="48"/>
        <v>1483079.2071824148</v>
      </c>
      <c r="L109" s="412">
        <f t="shared" si="48"/>
        <v>1488739.2071824148</v>
      </c>
      <c r="M109" s="412">
        <f t="shared" si="48"/>
        <v>1486699.2071824148</v>
      </c>
      <c r="N109" s="412">
        <f t="shared" si="48"/>
        <v>1491579.2071824148</v>
      </c>
      <c r="O109" s="412">
        <f t="shared" si="48"/>
        <v>1488739.2071824148</v>
      </c>
      <c r="P109" s="412">
        <f t="shared" si="48"/>
        <v>1486699.2071824148</v>
      </c>
      <c r="Q109" s="412">
        <f t="shared" si="48"/>
        <v>1491579.2071824148</v>
      </c>
      <c r="R109" s="412">
        <f t="shared" si="48"/>
        <v>1488739.2071824148</v>
      </c>
      <c r="S109" s="412">
        <f t="shared" si="48"/>
        <v>1486699.2071824148</v>
      </c>
      <c r="T109" s="412">
        <f t="shared" si="48"/>
        <v>1491579.2071824148</v>
      </c>
      <c r="U109" s="412">
        <f t="shared" si="48"/>
        <v>1489539.2071824148</v>
      </c>
      <c r="V109" s="412">
        <f t="shared" si="48"/>
        <v>1489539.2071824148</v>
      </c>
      <c r="W109" s="412">
        <v>0</v>
      </c>
      <c r="X109" s="412">
        <f>SUM(B109:W109)</f>
        <v>28540585.630697686</v>
      </c>
    </row>
    <row r="110" spans="1:25" s="417" customFormat="1" ht="9" x14ac:dyDescent="0.15">
      <c r="A110" s="417" t="s">
        <v>41</v>
      </c>
      <c r="B110" s="416">
        <f>B109</f>
        <v>-747370.21295061102</v>
      </c>
      <c r="C110" s="416">
        <f>B110+C109</f>
        <v>679596.99423180381</v>
      </c>
      <c r="D110" s="416">
        <f t="shared" ref="D110:W110" si="49">C110+D109</f>
        <v>2105239.2014142186</v>
      </c>
      <c r="E110" s="416">
        <f t="shared" si="49"/>
        <v>3530881.4085966335</v>
      </c>
      <c r="F110" s="416">
        <f t="shared" si="49"/>
        <v>4960864.6157790478</v>
      </c>
      <c r="G110" s="416">
        <f t="shared" si="49"/>
        <v>6390897.5229614628</v>
      </c>
      <c r="H110" s="416">
        <f t="shared" si="49"/>
        <v>7820936.7301438777</v>
      </c>
      <c r="I110" s="416">
        <f t="shared" si="49"/>
        <v>9250175.9373262934</v>
      </c>
      <c r="J110" s="416">
        <f t="shared" si="49"/>
        <v>10677375.144508708</v>
      </c>
      <c r="K110" s="416">
        <f t="shared" si="49"/>
        <v>12160454.351691123</v>
      </c>
      <c r="L110" s="416">
        <f t="shared" si="49"/>
        <v>13649193.558873538</v>
      </c>
      <c r="M110" s="416">
        <f t="shared" si="49"/>
        <v>15135892.766055953</v>
      </c>
      <c r="N110" s="416">
        <f t="shared" si="49"/>
        <v>16627471.973238368</v>
      </c>
      <c r="O110" s="416">
        <f t="shared" si="49"/>
        <v>18116211.180420782</v>
      </c>
      <c r="P110" s="416">
        <f t="shared" si="49"/>
        <v>19602910.387603197</v>
      </c>
      <c r="Q110" s="416">
        <f t="shared" si="49"/>
        <v>21094489.594785612</v>
      </c>
      <c r="R110" s="416">
        <f t="shared" si="49"/>
        <v>22583228.801968027</v>
      </c>
      <c r="S110" s="416">
        <f t="shared" si="49"/>
        <v>24069928.009150442</v>
      </c>
      <c r="T110" s="416">
        <f t="shared" si="49"/>
        <v>25561507.216332857</v>
      </c>
      <c r="U110" s="416">
        <f t="shared" si="49"/>
        <v>27051046.423515271</v>
      </c>
      <c r="V110" s="416">
        <f t="shared" si="49"/>
        <v>28540585.630697686</v>
      </c>
      <c r="W110" s="416">
        <f t="shared" si="49"/>
        <v>28540585.630697686</v>
      </c>
    </row>
    <row r="111" spans="1:25" s="409" customFormat="1" ht="11.25" x14ac:dyDescent="0.2">
      <c r="B111" s="409">
        <f>IF($C$112=B110,B105,0)</f>
        <v>0</v>
      </c>
      <c r="C111" s="409">
        <f t="shared" ref="C111:V111" si="50">IF($C$112=C110,C105,0)</f>
        <v>0</v>
      </c>
      <c r="D111" s="409">
        <f t="shared" si="50"/>
        <v>0</v>
      </c>
      <c r="E111" s="409">
        <f t="shared" si="50"/>
        <v>0</v>
      </c>
      <c r="F111" s="409">
        <f t="shared" si="50"/>
        <v>0</v>
      </c>
      <c r="G111" s="409">
        <f t="shared" si="50"/>
        <v>0</v>
      </c>
      <c r="H111" s="409">
        <f t="shared" si="50"/>
        <v>0</v>
      </c>
      <c r="I111" s="409">
        <f t="shared" si="50"/>
        <v>0</v>
      </c>
      <c r="J111" s="409">
        <f t="shared" si="50"/>
        <v>0</v>
      </c>
      <c r="K111" s="409">
        <f t="shared" si="50"/>
        <v>0</v>
      </c>
      <c r="L111" s="409">
        <f t="shared" si="50"/>
        <v>0</v>
      </c>
      <c r="M111" s="409">
        <f t="shared" si="50"/>
        <v>0</v>
      </c>
      <c r="N111" s="409">
        <f t="shared" si="50"/>
        <v>0</v>
      </c>
      <c r="O111" s="409">
        <f t="shared" si="50"/>
        <v>0</v>
      </c>
      <c r="P111" s="409">
        <f t="shared" si="50"/>
        <v>0</v>
      </c>
      <c r="Q111" s="409">
        <f t="shared" si="50"/>
        <v>0</v>
      </c>
      <c r="R111" s="409">
        <f t="shared" si="50"/>
        <v>0</v>
      </c>
      <c r="S111" s="409">
        <f t="shared" si="50"/>
        <v>0</v>
      </c>
      <c r="T111" s="409">
        <f t="shared" si="50"/>
        <v>0</v>
      </c>
      <c r="U111" s="409">
        <f t="shared" si="50"/>
        <v>0</v>
      </c>
      <c r="V111" s="409">
        <f t="shared" si="50"/>
        <v>0</v>
      </c>
      <c r="W111" s="409">
        <f>IF($C$53=W110,W$4,0)</f>
        <v>0</v>
      </c>
    </row>
    <row r="112" spans="1:25" s="410" customFormat="1" ht="12" x14ac:dyDescent="0.2">
      <c r="A112" s="410" t="s">
        <v>411</v>
      </c>
      <c r="C112" s="416">
        <f>MIN(B110:W110)</f>
        <v>-747370.21295061102</v>
      </c>
      <c r="E112" s="410" t="s">
        <v>413</v>
      </c>
      <c r="G112" s="410">
        <f>MAX(B111:W111)</f>
        <v>0</v>
      </c>
      <c r="H112" s="410" t="s">
        <v>414</v>
      </c>
    </row>
    <row r="113" spans="1:25" s="410" customFormat="1" ht="12" x14ac:dyDescent="0.2">
      <c r="A113" s="410" t="s">
        <v>412</v>
      </c>
      <c r="C113" s="410">
        <f>-C112*1.2</f>
        <v>896844.25554073323</v>
      </c>
      <c r="E113" s="410" t="s">
        <v>415</v>
      </c>
    </row>
    <row r="114" spans="1:25" s="94" customFormat="1" x14ac:dyDescent="0.25">
      <c r="W114" s="118"/>
      <c r="X114" s="118"/>
      <c r="Y114" s="118"/>
    </row>
    <row r="115" spans="1:25" s="94" customFormat="1" x14ac:dyDescent="0.25">
      <c r="W115" s="118"/>
      <c r="X115" s="118"/>
      <c r="Y115" s="118"/>
    </row>
    <row r="116" spans="1:25" s="94" customFormat="1" x14ac:dyDescent="0.25">
      <c r="W116" s="118"/>
      <c r="X116" s="118"/>
      <c r="Y116" s="118"/>
    </row>
    <row r="117" spans="1:25" s="94" customFormat="1" x14ac:dyDescent="0.25">
      <c r="W117" s="118"/>
      <c r="X117" s="118"/>
      <c r="Y117" s="118"/>
    </row>
    <row r="118" spans="1:25" s="94" customFormat="1" x14ac:dyDescent="0.25">
      <c r="W118" s="118"/>
      <c r="X118" s="118"/>
      <c r="Y118" s="118"/>
    </row>
    <row r="119" spans="1:25" s="94" customFormat="1" x14ac:dyDescent="0.25">
      <c r="W119" s="118"/>
      <c r="X119" s="118"/>
      <c r="Y119" s="118"/>
    </row>
    <row r="120" spans="1:25" s="94" customFormat="1" x14ac:dyDescent="0.25">
      <c r="W120" s="118"/>
      <c r="X120" s="118"/>
      <c r="Y120" s="118"/>
    </row>
    <row r="121" spans="1:25" s="94" customFormat="1" x14ac:dyDescent="0.25">
      <c r="W121" s="118"/>
      <c r="X121" s="118"/>
      <c r="Y121" s="118"/>
    </row>
    <row r="122" spans="1:25" s="94" customFormat="1" x14ac:dyDescent="0.25">
      <c r="W122" s="118"/>
      <c r="X122" s="118"/>
      <c r="Y122" s="118"/>
    </row>
    <row r="123" spans="1:25" s="94" customFormat="1" x14ac:dyDescent="0.25">
      <c r="W123" s="118"/>
      <c r="X123" s="118"/>
      <c r="Y123" s="118"/>
    </row>
    <row r="124" spans="1:25" s="94" customFormat="1" x14ac:dyDescent="0.25">
      <c r="W124" s="118"/>
      <c r="X124" s="118"/>
      <c r="Y124" s="118"/>
    </row>
    <row r="125" spans="1:25" s="94" customFormat="1" x14ac:dyDescent="0.25">
      <c r="W125" s="118"/>
      <c r="X125" s="118"/>
      <c r="Y125" s="118"/>
    </row>
    <row r="126" spans="1:25" s="94" customFormat="1" x14ac:dyDescent="0.25">
      <c r="W126" s="118"/>
      <c r="X126" s="118"/>
      <c r="Y126" s="118"/>
    </row>
    <row r="127" spans="1:25" s="94" customFormat="1" x14ac:dyDescent="0.25">
      <c r="W127" s="118"/>
      <c r="X127" s="118"/>
      <c r="Y127" s="118"/>
    </row>
    <row r="128" spans="1:25" s="94" customFormat="1" x14ac:dyDescent="0.25">
      <c r="W128" s="118"/>
      <c r="X128" s="118"/>
      <c r="Y128" s="118"/>
    </row>
    <row r="129" spans="23:25" s="94" customFormat="1" x14ac:dyDescent="0.25">
      <c r="W129" s="118"/>
      <c r="X129" s="118"/>
      <c r="Y129" s="118"/>
    </row>
  </sheetData>
  <mergeCells count="14">
    <mergeCell ref="K98:V98"/>
    <mergeCell ref="T93:V93"/>
    <mergeCell ref="D96:E96"/>
    <mergeCell ref="G96:H96"/>
    <mergeCell ref="I96:J96"/>
    <mergeCell ref="K96:V96"/>
    <mergeCell ref="B97:J97"/>
    <mergeCell ref="K97:V97"/>
    <mergeCell ref="B92:S92"/>
    <mergeCell ref="Y86:Z89"/>
    <mergeCell ref="B91:M91"/>
    <mergeCell ref="N91:O91"/>
    <mergeCell ref="R91:S91"/>
    <mergeCell ref="T91:V91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zoomScale="90" zoomScaleNormal="90" workbookViewId="0">
      <selection activeCell="B4" sqref="B4"/>
    </sheetView>
  </sheetViews>
  <sheetFormatPr defaultRowHeight="15" x14ac:dyDescent="0.25"/>
  <cols>
    <col min="1" max="1" width="26" customWidth="1"/>
    <col min="2" max="2" width="6.28515625" customWidth="1"/>
    <col min="3" max="3" width="7.7109375" customWidth="1"/>
    <col min="4" max="4" width="6.85546875" bestFit="1" customWidth="1"/>
    <col min="5" max="5" width="7.7109375" customWidth="1"/>
    <col min="6" max="6" width="7.7109375" style="146" customWidth="1"/>
    <col min="7" max="8" width="7.7109375" customWidth="1"/>
    <col min="9" max="9" width="7.7109375" style="146" customWidth="1"/>
    <col min="10" max="13" width="7.7109375" customWidth="1"/>
    <col min="14" max="14" width="7.7109375" style="146" customWidth="1"/>
    <col min="15" max="21" width="7.7109375" customWidth="1"/>
    <col min="22" max="22" width="8.7109375" customWidth="1"/>
    <col min="23" max="23" width="9.5703125" style="188" bestFit="1" customWidth="1"/>
    <col min="24" max="24" width="12.5703125" style="188" customWidth="1"/>
    <col min="25" max="25" width="8.85546875" style="188"/>
  </cols>
  <sheetData>
    <row r="1" spans="1:25" x14ac:dyDescent="0.25">
      <c r="A1" s="418" t="s">
        <v>428</v>
      </c>
      <c r="B1" s="418"/>
      <c r="C1" s="418"/>
      <c r="D1" s="418"/>
      <c r="E1" s="418"/>
      <c r="F1" s="418"/>
      <c r="G1" s="418"/>
      <c r="H1" s="418"/>
      <c r="I1" s="121" t="s">
        <v>416</v>
      </c>
      <c r="J1" s="420">
        <v>2</v>
      </c>
      <c r="K1" t="s">
        <v>417</v>
      </c>
      <c r="L1" s="426">
        <f>W79</f>
        <v>431410.65287117672</v>
      </c>
      <c r="M1" s="112" t="s">
        <v>423</v>
      </c>
      <c r="N1" s="423">
        <f>X64</f>
        <v>82086.987473545305</v>
      </c>
      <c r="O1" s="112" t="s">
        <v>424</v>
      </c>
      <c r="P1" s="424">
        <f>X66</f>
        <v>7263.725579365012</v>
      </c>
      <c r="Q1" s="112" t="s">
        <v>425</v>
      </c>
      <c r="R1" s="425">
        <f>X65</f>
        <v>348319.52181293961</v>
      </c>
    </row>
    <row r="2" spans="1:25" x14ac:dyDescent="0.25">
      <c r="B2">
        <v>1</v>
      </c>
      <c r="C2">
        <f>B2+1</f>
        <v>2</v>
      </c>
      <c r="D2">
        <f t="shared" ref="D2:V2" si="0">C2+1</f>
        <v>3</v>
      </c>
      <c r="E2">
        <f t="shared" si="0"/>
        <v>4</v>
      </c>
      <c r="F2" s="146">
        <f t="shared" si="0"/>
        <v>5</v>
      </c>
      <c r="G2" s="146">
        <f t="shared" si="0"/>
        <v>6</v>
      </c>
      <c r="H2" s="146">
        <f t="shared" si="0"/>
        <v>7</v>
      </c>
      <c r="I2" s="146">
        <f t="shared" si="0"/>
        <v>8</v>
      </c>
      <c r="J2" s="146">
        <f t="shared" si="0"/>
        <v>9</v>
      </c>
      <c r="K2" s="146">
        <f t="shared" si="0"/>
        <v>10</v>
      </c>
      <c r="L2" s="146">
        <f t="shared" si="0"/>
        <v>11</v>
      </c>
      <c r="M2" s="146">
        <f t="shared" si="0"/>
        <v>12</v>
      </c>
      <c r="N2" s="146">
        <f t="shared" si="0"/>
        <v>13</v>
      </c>
      <c r="O2" s="146">
        <f t="shared" si="0"/>
        <v>14</v>
      </c>
      <c r="P2" s="146">
        <f t="shared" si="0"/>
        <v>15</v>
      </c>
      <c r="Q2" s="146">
        <f t="shared" si="0"/>
        <v>16</v>
      </c>
      <c r="R2" s="146">
        <f t="shared" si="0"/>
        <v>17</v>
      </c>
      <c r="S2" s="146">
        <f t="shared" si="0"/>
        <v>18</v>
      </c>
      <c r="T2" s="146">
        <f t="shared" si="0"/>
        <v>19</v>
      </c>
      <c r="U2" s="146">
        <f t="shared" si="0"/>
        <v>20</v>
      </c>
      <c r="V2" s="146">
        <f t="shared" si="0"/>
        <v>21</v>
      </c>
      <c r="W2" s="188" t="s">
        <v>258</v>
      </c>
      <c r="X2" s="188" t="s">
        <v>40</v>
      </c>
    </row>
    <row r="3" spans="1:25" ht="18.75" x14ac:dyDescent="0.3">
      <c r="A3" s="262" t="s">
        <v>262</v>
      </c>
      <c r="B3" s="262"/>
      <c r="C3" s="262"/>
      <c r="D3" s="262"/>
      <c r="E3" s="262"/>
    </row>
    <row r="4" spans="1:25" x14ac:dyDescent="0.25">
      <c r="A4" s="244" t="s">
        <v>259</v>
      </c>
      <c r="B4" s="261">
        <f>'1сел'!B5+'1сел'!B6+'1сел'!B7+'1сел'!B10</f>
        <v>4397</v>
      </c>
      <c r="C4" s="261">
        <f>'1сел'!C5+'1сел'!C6+'1сел'!C7+'1сел'!C10</f>
        <v>4397</v>
      </c>
      <c r="D4" s="261">
        <f>'1сел'!D5+'1сел'!D6+'1сел'!D7+'1сел'!D10</f>
        <v>4397</v>
      </c>
      <c r="E4" s="261">
        <f>'1сел'!E5+'1сел'!E6+'1сел'!E7+'1сел'!E10</f>
        <v>4397</v>
      </c>
      <c r="F4" s="261">
        <f>'1сел'!F5+'1сел'!F6+'1сел'!F7+'1сел'!F10</f>
        <v>4397</v>
      </c>
      <c r="G4" s="261">
        <f>'1сел'!G5+'1сел'!G6+'1сел'!G7+'1сел'!G10</f>
        <v>4397</v>
      </c>
      <c r="H4" s="261">
        <f>'1сел'!H5+'1сел'!H6+'1сел'!H7+'1сел'!H10</f>
        <v>4397</v>
      </c>
      <c r="I4" s="261">
        <f>'1сел'!I5+'1сел'!I6+'1сел'!I7+'1сел'!I10</f>
        <v>4397</v>
      </c>
      <c r="J4" s="261">
        <f>'1сел'!J5+'1сел'!J6+'1сел'!J7+'1сел'!J10</f>
        <v>4397</v>
      </c>
      <c r="K4" s="261">
        <f>'1сел'!K5+'1сел'!K6+'1сел'!K7+'1сел'!K10</f>
        <v>4397</v>
      </c>
      <c r="L4" s="261">
        <f>'1сел'!L5+'1сел'!L6+'1сел'!L7+'1сел'!L10</f>
        <v>4397</v>
      </c>
      <c r="M4" s="261">
        <f>'1сел'!M5+'1сел'!M6+'1сел'!M7+'1сел'!M10</f>
        <v>4397</v>
      </c>
      <c r="N4" s="261">
        <f>'1сел'!N5+'1сел'!N6+'1сел'!N7+'1сел'!N10</f>
        <v>3488</v>
      </c>
      <c r="O4" s="261">
        <f>'1сел'!O5+'1сел'!O6+'1сел'!O7+'1сел'!O10</f>
        <v>3488</v>
      </c>
      <c r="P4" s="261">
        <f>'1сел'!P5+'1сел'!P6+'1сел'!P7+'1сел'!P10</f>
        <v>6.3</v>
      </c>
      <c r="Q4" s="261">
        <f>'1сел'!Q5+'1сел'!Q6+'1сел'!Q7+'1сел'!Q10</f>
        <v>0</v>
      </c>
      <c r="R4" s="261">
        <f>'1сел'!R5+'1сел'!R6+'1сел'!R7+'1сел'!R10</f>
        <v>0</v>
      </c>
      <c r="S4" s="261">
        <f>'1сел'!S5+'1сел'!S6+'1сел'!S7+'1сел'!S10</f>
        <v>2040</v>
      </c>
      <c r="T4" s="261">
        <f>'1сел'!T5+'1сел'!T6+'1сел'!T7+'1сел'!T10</f>
        <v>0</v>
      </c>
      <c r="U4" s="261">
        <f>'1сел'!U5+'1сел'!U6+'1сел'!U7+'1сел'!U10</f>
        <v>0</v>
      </c>
      <c r="V4" s="261">
        <f>'1сел'!V5+'1сел'!V6+'1сел'!V7+'1сел'!V10</f>
        <v>0</v>
      </c>
      <c r="W4" s="199">
        <f t="shared" ref="W4:W22" si="1">SUM(B4:V4)</f>
        <v>61786.3</v>
      </c>
      <c r="X4" s="189">
        <f>NPV('1сел'!$X$1,B4:V4)</f>
        <v>53272.586999344836</v>
      </c>
    </row>
    <row r="5" spans="1:25" x14ac:dyDescent="0.25">
      <c r="A5" s="244" t="s">
        <v>261</v>
      </c>
      <c r="B5" s="58">
        <f>('3товар'!B4+'3товар'!B5)*1000</f>
        <v>935000</v>
      </c>
      <c r="C5" s="58">
        <f>('3товар'!C4+'3товар'!C5)*1000</f>
        <v>935000</v>
      </c>
      <c r="D5" s="58">
        <f>('3товар'!D4+'3товар'!D5)*1000</f>
        <v>935000</v>
      </c>
      <c r="E5" s="58">
        <f>('3товар'!E4+'3товар'!E5)*1000</f>
        <v>935000</v>
      </c>
      <c r="F5" s="251">
        <f>('3товар'!F4+'3товар'!F5)*1000</f>
        <v>935000</v>
      </c>
      <c r="G5" s="58">
        <f>('3товар'!G4+'3товар'!G5)*1000</f>
        <v>935000</v>
      </c>
      <c r="H5" s="58">
        <f>('3товар'!H4+'3товар'!H5)*1000</f>
        <v>935000</v>
      </c>
      <c r="I5" s="251">
        <f>('3товар'!I4+'3товар'!I5)*1000</f>
        <v>935000</v>
      </c>
      <c r="J5" s="58">
        <f>('3товар'!J4+'3товар'!J5)*1000</f>
        <v>935000</v>
      </c>
      <c r="K5" s="58">
        <f>('3товар'!K4+'3товар'!K5)*1000</f>
        <v>935000</v>
      </c>
      <c r="L5" s="58">
        <f>('3товар'!L4+'3товар'!L5)*1000</f>
        <v>935000</v>
      </c>
      <c r="M5" s="58">
        <f>('3товар'!M4+'3товар'!M5)*1000</f>
        <v>935000</v>
      </c>
      <c r="N5" s="251">
        <f>('3товар'!N4+'3товар'!N5)*1000</f>
        <v>935000</v>
      </c>
      <c r="O5" s="58">
        <f>('3товар'!O4+'3товар'!O5)*1000</f>
        <v>935000</v>
      </c>
      <c r="P5" s="58">
        <f>('3товар'!P4+'3товар'!P5)*1000</f>
        <v>935000</v>
      </c>
      <c r="Q5" s="58">
        <f>('3товар'!Q4+'3товар'!Q5)*1000</f>
        <v>935000</v>
      </c>
      <c r="R5" s="58">
        <f>('3товар'!R4+'3товар'!R5)*1000</f>
        <v>935000</v>
      </c>
      <c r="S5" s="58">
        <f>('3товар'!S4+'3товар'!S5)*1000</f>
        <v>935000</v>
      </c>
      <c r="T5" s="58">
        <f>('3товар'!T4+'3товар'!T5)*1000</f>
        <v>884000</v>
      </c>
      <c r="U5" s="58">
        <f>('3товар'!U4+'3товар'!U5)*1000</f>
        <v>884000</v>
      </c>
      <c r="V5" s="58">
        <f>('3товар'!V4+'3товар'!V5)*1000</f>
        <v>884000</v>
      </c>
      <c r="W5" s="199">
        <f t="shared" si="1"/>
        <v>19482000</v>
      </c>
      <c r="X5" s="189">
        <f>NPV('1сел'!$X$1,B5:V5)</f>
        <v>15802502.492488489</v>
      </c>
    </row>
    <row r="6" spans="1:25" x14ac:dyDescent="0.25">
      <c r="A6" s="244" t="s">
        <v>260</v>
      </c>
      <c r="B6" s="247">
        <f>('2сем'!B4+'2сем'!B9+'2сем'!B10)</f>
        <v>0</v>
      </c>
      <c r="C6" s="247">
        <f>('2сем'!C4+'2сем'!C9+'2сем'!C10)</f>
        <v>0</v>
      </c>
      <c r="D6" s="247">
        <f>('2сем'!D4+'2сем'!D9+'2сем'!D10)</f>
        <v>0</v>
      </c>
      <c r="E6" s="247">
        <f>('2сем'!E4+'2сем'!E9+'2сем'!E10)</f>
        <v>0</v>
      </c>
      <c r="F6" s="253">
        <f>('2сем'!F4+'2сем'!F9+'2сем'!F10)</f>
        <v>0</v>
      </c>
      <c r="G6" s="247">
        <f>('2сем'!G4+'2сем'!G9+'2сем'!G10)</f>
        <v>0</v>
      </c>
      <c r="H6" s="247">
        <f>('2сем'!H4+'2сем'!H9+'2сем'!H10)</f>
        <v>0</v>
      </c>
      <c r="I6" s="253">
        <f>('2сем'!I4+'2сем'!I9+'2сем'!I10)</f>
        <v>0</v>
      </c>
      <c r="J6" s="247">
        <f>('2сем'!J4+'2сем'!J9+'2сем'!J10)</f>
        <v>0</v>
      </c>
      <c r="K6" s="247">
        <f>('2сем'!K4+'2сем'!K9+'2сем'!K10)</f>
        <v>0</v>
      </c>
      <c r="L6" s="247">
        <f>('2сем'!L4+'2сем'!L9+'2сем'!L10)</f>
        <v>0</v>
      </c>
      <c r="M6" s="247">
        <f>('2сем'!M4+'2сем'!M9+'2сем'!M10)</f>
        <v>0</v>
      </c>
      <c r="N6" s="253">
        <f>('2сем'!N4+'2сем'!N9+'2сем'!N10)</f>
        <v>0</v>
      </c>
      <c r="O6" s="247">
        <f>('2сем'!O4+'2сем'!O9+'2сем'!O10)</f>
        <v>0</v>
      </c>
      <c r="P6" s="247">
        <f>('2сем'!P4+'2сем'!P9+'2сем'!P10)</f>
        <v>0</v>
      </c>
      <c r="Q6" s="247">
        <f>('2сем'!Q4+'2сем'!Q9+'2сем'!Q10)</f>
        <v>0</v>
      </c>
      <c r="R6" s="247">
        <f>('2сем'!R4+'2сем'!R9+'2сем'!R10)</f>
        <v>800.00000000000011</v>
      </c>
      <c r="S6" s="247">
        <f>('2сем'!S4+'2сем'!S9+'2сем'!S10)</f>
        <v>800.00000000000011</v>
      </c>
      <c r="T6" s="247">
        <f>('2сем'!T4+'2сем'!T9+'2сем'!T10)</f>
        <v>0</v>
      </c>
      <c r="U6" s="247">
        <f>('2сем'!U4+'2сем'!U9+'2сем'!U10)</f>
        <v>0</v>
      </c>
      <c r="V6" s="247">
        <f>('2сем'!V4+'2сем'!V9+'2сем'!V10)</f>
        <v>0</v>
      </c>
      <c r="W6" s="199">
        <f t="shared" si="1"/>
        <v>1600.0000000000002</v>
      </c>
      <c r="X6" s="189">
        <f>NPV('1сел'!$X$1,B6:V6)</f>
        <v>1131.457549944447</v>
      </c>
    </row>
    <row r="7" spans="1:25" s="37" customFormat="1" ht="12.75" x14ac:dyDescent="0.2">
      <c r="A7" s="40" t="s">
        <v>263</v>
      </c>
      <c r="B7" s="40">
        <f>SUM(B4:B6)</f>
        <v>939397</v>
      </c>
      <c r="C7" s="40">
        <f t="shared" ref="C7:V7" si="2">SUM(C4:C6)</f>
        <v>939397</v>
      </c>
      <c r="D7" s="40">
        <f t="shared" si="2"/>
        <v>939397</v>
      </c>
      <c r="E7" s="40">
        <f t="shared" si="2"/>
        <v>939397</v>
      </c>
      <c r="F7" s="252">
        <f t="shared" si="2"/>
        <v>939397</v>
      </c>
      <c r="G7" s="40">
        <f t="shared" si="2"/>
        <v>939397</v>
      </c>
      <c r="H7" s="40">
        <f t="shared" si="2"/>
        <v>939397</v>
      </c>
      <c r="I7" s="252">
        <f t="shared" si="2"/>
        <v>939397</v>
      </c>
      <c r="J7" s="40">
        <f t="shared" si="2"/>
        <v>939397</v>
      </c>
      <c r="K7" s="40">
        <f t="shared" si="2"/>
        <v>939397</v>
      </c>
      <c r="L7" s="40">
        <f t="shared" si="2"/>
        <v>939397</v>
      </c>
      <c r="M7" s="40">
        <f t="shared" si="2"/>
        <v>939397</v>
      </c>
      <c r="N7" s="252">
        <f t="shared" si="2"/>
        <v>938488</v>
      </c>
      <c r="O7" s="40">
        <f t="shared" si="2"/>
        <v>938488</v>
      </c>
      <c r="P7" s="40">
        <f t="shared" si="2"/>
        <v>935006.3</v>
      </c>
      <c r="Q7" s="40">
        <f t="shared" si="2"/>
        <v>935000</v>
      </c>
      <c r="R7" s="40">
        <f t="shared" si="2"/>
        <v>935800</v>
      </c>
      <c r="S7" s="40">
        <f t="shared" si="2"/>
        <v>937840</v>
      </c>
      <c r="T7" s="40">
        <f t="shared" si="2"/>
        <v>884000</v>
      </c>
      <c r="U7" s="40">
        <f t="shared" si="2"/>
        <v>884000</v>
      </c>
      <c r="V7" s="40">
        <f t="shared" si="2"/>
        <v>884000</v>
      </c>
      <c r="W7" s="200">
        <f t="shared" si="1"/>
        <v>19545386.300000001</v>
      </c>
      <c r="X7" s="189">
        <f>NPV('1сел'!$X$1,B7:V7)</f>
        <v>15856906.537037784</v>
      </c>
      <c r="Y7" s="193"/>
    </row>
    <row r="8" spans="1:25" x14ac:dyDescent="0.25">
      <c r="A8" s="201" t="s">
        <v>264</v>
      </c>
      <c r="W8" s="189">
        <f t="shared" si="1"/>
        <v>0</v>
      </c>
      <c r="X8" s="189">
        <f>NPV('1сел'!$X$1,B8:V8)</f>
        <v>0</v>
      </c>
    </row>
    <row r="9" spans="1:25" x14ac:dyDescent="0.25">
      <c r="A9" s="191" t="s">
        <v>265</v>
      </c>
      <c r="B9" s="215">
        <f>'1сел'!B11</f>
        <v>0</v>
      </c>
      <c r="C9" s="215">
        <f>'1сел'!C11</f>
        <v>0</v>
      </c>
      <c r="D9" s="215">
        <f>'1сел'!D11</f>
        <v>0</v>
      </c>
      <c r="E9" s="215">
        <f>'1сел'!E11</f>
        <v>0</v>
      </c>
      <c r="F9" s="254">
        <f>'1сел'!F11</f>
        <v>0</v>
      </c>
      <c r="G9" s="215">
        <f>'1сел'!G11</f>
        <v>0</v>
      </c>
      <c r="H9" s="215">
        <f>'1сел'!H11</f>
        <v>0</v>
      </c>
      <c r="I9" s="254">
        <f>'1сел'!I11</f>
        <v>0</v>
      </c>
      <c r="J9" s="215">
        <f>'1сел'!J11</f>
        <v>0</v>
      </c>
      <c r="K9" s="215">
        <f>'1сел'!K11</f>
        <v>0</v>
      </c>
      <c r="L9" s="215">
        <f>'1сел'!L11</f>
        <v>0</v>
      </c>
      <c r="M9" s="215">
        <f>'1сел'!M11</f>
        <v>0</v>
      </c>
      <c r="N9" s="254">
        <f>'1сел'!N11</f>
        <v>0</v>
      </c>
      <c r="O9" s="215">
        <f>'1сел'!O11</f>
        <v>0</v>
      </c>
      <c r="P9" s="215">
        <f>'1сел'!P11</f>
        <v>0</v>
      </c>
      <c r="Q9" s="215">
        <f>'1сел'!Q11</f>
        <v>0</v>
      </c>
      <c r="R9" s="215">
        <f>'1сел'!R11</f>
        <v>0</v>
      </c>
      <c r="S9" s="215">
        <f>'1сел'!S11</f>
        <v>0</v>
      </c>
      <c r="T9" s="215">
        <f>'1сел'!T11</f>
        <v>8500</v>
      </c>
      <c r="U9" s="215">
        <f>'1сел'!U11</f>
        <v>8500</v>
      </c>
      <c r="V9" s="215">
        <f>'1сел'!V11</f>
        <v>8500</v>
      </c>
      <c r="W9" s="189">
        <f t="shared" si="1"/>
        <v>25500</v>
      </c>
      <c r="X9" s="189">
        <f>NPV('1сел'!$X$1,B9:V9)</f>
        <v>17163.012232032492</v>
      </c>
    </row>
    <row r="10" spans="1:25" x14ac:dyDescent="0.25">
      <c r="A10" s="191" t="s">
        <v>267</v>
      </c>
      <c r="B10" s="245">
        <f>'3товар'!B6*1000</f>
        <v>2805000</v>
      </c>
      <c r="C10" s="245">
        <f>'3товар'!C6*1000</f>
        <v>2805000</v>
      </c>
      <c r="D10" s="245">
        <f>'3товар'!D6*1000</f>
        <v>2805000</v>
      </c>
      <c r="E10" s="245">
        <f>'3товар'!E6*1000</f>
        <v>2805000</v>
      </c>
      <c r="F10" s="255">
        <f>'3товар'!F6*1000</f>
        <v>2805000</v>
      </c>
      <c r="G10" s="245">
        <f>'3товар'!G6*1000</f>
        <v>2805000</v>
      </c>
      <c r="H10" s="245">
        <f>'3товар'!H6*1000</f>
        <v>2805000</v>
      </c>
      <c r="I10" s="255">
        <f>'3товар'!I6*1000</f>
        <v>2805000</v>
      </c>
      <c r="J10" s="245">
        <f>'3товар'!J6*1000</f>
        <v>2805000</v>
      </c>
      <c r="K10" s="245">
        <f>'3товар'!K6*1000</f>
        <v>2805000</v>
      </c>
      <c r="L10" s="245">
        <f>'3товар'!L6*1000</f>
        <v>2805000</v>
      </c>
      <c r="M10" s="245">
        <f>'3товар'!M6*1000</f>
        <v>2805000</v>
      </c>
      <c r="N10" s="255">
        <f>'3товар'!N6*1000</f>
        <v>2805000</v>
      </c>
      <c r="O10" s="245">
        <f>'3товар'!O6*1000</f>
        <v>2805000</v>
      </c>
      <c r="P10" s="245">
        <f>'3товар'!P6*1000</f>
        <v>2805000</v>
      </c>
      <c r="Q10" s="245">
        <f>'3товар'!Q6*1000</f>
        <v>2805000</v>
      </c>
      <c r="R10" s="245">
        <f>'3товар'!R6*1000</f>
        <v>2805000</v>
      </c>
      <c r="S10" s="245">
        <f>'3товар'!S6*1000</f>
        <v>2805000</v>
      </c>
      <c r="T10" s="245">
        <f>'3товар'!T6*1000</f>
        <v>2805000</v>
      </c>
      <c r="U10" s="245">
        <f>'3товар'!U6*1000</f>
        <v>2805000</v>
      </c>
      <c r="V10" s="245">
        <f>'3товар'!V6*1000</f>
        <v>2805000</v>
      </c>
      <c r="W10" s="189">
        <f t="shared" si="1"/>
        <v>58905000</v>
      </c>
      <c r="X10" s="189">
        <f>NPV('1сел'!$X$1,B10:V10)</f>
        <v>47716441.697642058</v>
      </c>
    </row>
    <row r="11" spans="1:25" x14ac:dyDescent="0.25">
      <c r="A11" s="191" t="s">
        <v>266</v>
      </c>
      <c r="B11" s="215">
        <f>'2сем'!B11</f>
        <v>0</v>
      </c>
      <c r="C11" s="215">
        <f>'2сем'!C11</f>
        <v>0</v>
      </c>
      <c r="D11" s="215">
        <f>'2сем'!D11</f>
        <v>0</v>
      </c>
      <c r="E11" s="215">
        <f>'2сем'!E11</f>
        <v>0</v>
      </c>
      <c r="F11" s="254">
        <f>'2сем'!F11</f>
        <v>0</v>
      </c>
      <c r="G11" s="215">
        <f>'2сем'!G11</f>
        <v>0</v>
      </c>
      <c r="H11" s="215">
        <f>'2сем'!H11</f>
        <v>0</v>
      </c>
      <c r="I11" s="254">
        <f>'2сем'!I11</f>
        <v>0</v>
      </c>
      <c r="J11" s="215">
        <f>'2сем'!J11</f>
        <v>0</v>
      </c>
      <c r="K11" s="215">
        <f>'2сем'!K11</f>
        <v>0</v>
      </c>
      <c r="L11" s="215">
        <f>'2сем'!L11</f>
        <v>0</v>
      </c>
      <c r="M11" s="215">
        <f>'2сем'!M11</f>
        <v>0</v>
      </c>
      <c r="N11" s="254">
        <f>'2сем'!N11</f>
        <v>0</v>
      </c>
      <c r="O11" s="215">
        <f>'2сем'!O11</f>
        <v>0</v>
      </c>
      <c r="P11" s="215">
        <f>'2сем'!P11</f>
        <v>0</v>
      </c>
      <c r="Q11" s="215">
        <f>'2сем'!Q11</f>
        <v>0</v>
      </c>
      <c r="R11" s="215">
        <f>'2сем'!R11</f>
        <v>0</v>
      </c>
      <c r="S11" s="215">
        <f>'2сем'!S11</f>
        <v>2040</v>
      </c>
      <c r="T11" s="215">
        <f>'2сем'!T11</f>
        <v>0</v>
      </c>
      <c r="U11" s="215">
        <f>'2сем'!U11</f>
        <v>0</v>
      </c>
      <c r="V11" s="215">
        <f>'2сем'!V11</f>
        <v>0</v>
      </c>
      <c r="W11" s="189">
        <f t="shared" si="1"/>
        <v>2040</v>
      </c>
      <c r="X11" s="189">
        <f>NPV('1сел'!$X$1,B11:V11)</f>
        <v>1428.325124929871</v>
      </c>
    </row>
    <row r="12" spans="1:25" s="188" customFormat="1" x14ac:dyDescent="0.25">
      <c r="A12" s="194" t="s">
        <v>263</v>
      </c>
      <c r="B12" s="194">
        <f>SUM(B9:B11)</f>
        <v>2805000</v>
      </c>
      <c r="C12" s="194">
        <f t="shared" ref="C12:V12" si="3">SUM(C9:C11)</f>
        <v>2805000</v>
      </c>
      <c r="D12" s="194">
        <f t="shared" si="3"/>
        <v>2805000</v>
      </c>
      <c r="E12" s="194">
        <f t="shared" si="3"/>
        <v>2805000</v>
      </c>
      <c r="F12" s="256">
        <f t="shared" si="3"/>
        <v>2805000</v>
      </c>
      <c r="G12" s="194">
        <f t="shared" si="3"/>
        <v>2805000</v>
      </c>
      <c r="H12" s="194">
        <f t="shared" si="3"/>
        <v>2805000</v>
      </c>
      <c r="I12" s="256">
        <f t="shared" si="3"/>
        <v>2805000</v>
      </c>
      <c r="J12" s="194">
        <f t="shared" si="3"/>
        <v>2805000</v>
      </c>
      <c r="K12" s="194">
        <f t="shared" si="3"/>
        <v>2805000</v>
      </c>
      <c r="L12" s="194">
        <f t="shared" si="3"/>
        <v>2805000</v>
      </c>
      <c r="M12" s="194">
        <f t="shared" si="3"/>
        <v>2805000</v>
      </c>
      <c r="N12" s="256">
        <f t="shared" si="3"/>
        <v>2805000</v>
      </c>
      <c r="O12" s="194">
        <f t="shared" si="3"/>
        <v>2805000</v>
      </c>
      <c r="P12" s="194">
        <f t="shared" si="3"/>
        <v>2805000</v>
      </c>
      <c r="Q12" s="194">
        <f t="shared" si="3"/>
        <v>2805000</v>
      </c>
      <c r="R12" s="194">
        <f t="shared" si="3"/>
        <v>2805000</v>
      </c>
      <c r="S12" s="194">
        <f t="shared" si="3"/>
        <v>2807040</v>
      </c>
      <c r="T12" s="194">
        <f t="shared" si="3"/>
        <v>2813500</v>
      </c>
      <c r="U12" s="194">
        <f t="shared" si="3"/>
        <v>2813500</v>
      </c>
      <c r="V12" s="194">
        <f t="shared" si="3"/>
        <v>2813500</v>
      </c>
      <c r="W12" s="189">
        <f t="shared" si="1"/>
        <v>58932540</v>
      </c>
      <c r="X12" s="189">
        <f>NPV('1сел'!$X$1,B12:V12)</f>
        <v>47735033.034999028</v>
      </c>
    </row>
    <row r="13" spans="1:25" x14ac:dyDescent="0.25">
      <c r="A13" s="48" t="s">
        <v>268</v>
      </c>
      <c r="B13" s="37">
        <f>B9-B4</f>
        <v>-4397</v>
      </c>
      <c r="C13" s="37">
        <f t="shared" ref="C13:V15" si="4">C9-C4</f>
        <v>-4397</v>
      </c>
      <c r="D13" s="37">
        <f t="shared" si="4"/>
        <v>-4397</v>
      </c>
      <c r="E13" s="37">
        <f t="shared" si="4"/>
        <v>-4397</v>
      </c>
      <c r="F13" s="257">
        <f t="shared" si="4"/>
        <v>-4397</v>
      </c>
      <c r="G13" s="37">
        <f t="shared" si="4"/>
        <v>-4397</v>
      </c>
      <c r="H13" s="37">
        <f t="shared" si="4"/>
        <v>-4397</v>
      </c>
      <c r="I13" s="257">
        <f t="shared" si="4"/>
        <v>-4397</v>
      </c>
      <c r="J13" s="37">
        <f t="shared" si="4"/>
        <v>-4397</v>
      </c>
      <c r="K13" s="37">
        <f t="shared" si="4"/>
        <v>-4397</v>
      </c>
      <c r="L13" s="37">
        <f t="shared" si="4"/>
        <v>-4397</v>
      </c>
      <c r="M13" s="37">
        <f t="shared" si="4"/>
        <v>-4397</v>
      </c>
      <c r="N13" s="257">
        <f t="shared" si="4"/>
        <v>-3488</v>
      </c>
      <c r="O13" s="37">
        <f t="shared" si="4"/>
        <v>-3488</v>
      </c>
      <c r="P13" s="37">
        <f t="shared" si="4"/>
        <v>-6.3</v>
      </c>
      <c r="Q13" s="37">
        <f t="shared" si="4"/>
        <v>0</v>
      </c>
      <c r="R13" s="37">
        <f t="shared" si="4"/>
        <v>0</v>
      </c>
      <c r="S13" s="37">
        <f t="shared" si="4"/>
        <v>-2040</v>
      </c>
      <c r="T13" s="37">
        <f t="shared" si="4"/>
        <v>8500</v>
      </c>
      <c r="U13" s="37">
        <f t="shared" si="4"/>
        <v>8500</v>
      </c>
      <c r="V13" s="37">
        <f t="shared" si="4"/>
        <v>8500</v>
      </c>
      <c r="W13" s="189">
        <f t="shared" si="1"/>
        <v>-36286.300000000003</v>
      </c>
      <c r="X13" s="189">
        <f>NPV('1сел'!$X$1,B13:V13)</f>
        <v>-36109.574767312348</v>
      </c>
    </row>
    <row r="14" spans="1:25" x14ac:dyDescent="0.25">
      <c r="A14" s="245" t="s">
        <v>269</v>
      </c>
      <c r="B14" s="245">
        <f>B10-B5</f>
        <v>1870000</v>
      </c>
      <c r="C14" s="245">
        <f t="shared" si="4"/>
        <v>1870000</v>
      </c>
      <c r="D14" s="245">
        <f t="shared" si="4"/>
        <v>1870000</v>
      </c>
      <c r="E14" s="245">
        <f t="shared" si="4"/>
        <v>1870000</v>
      </c>
      <c r="F14" s="255">
        <f t="shared" si="4"/>
        <v>1870000</v>
      </c>
      <c r="G14" s="245">
        <f t="shared" si="4"/>
        <v>1870000</v>
      </c>
      <c r="H14" s="245">
        <f t="shared" si="4"/>
        <v>1870000</v>
      </c>
      <c r="I14" s="255">
        <f t="shared" si="4"/>
        <v>1870000</v>
      </c>
      <c r="J14" s="245">
        <f t="shared" si="4"/>
        <v>1870000</v>
      </c>
      <c r="K14" s="245">
        <f t="shared" si="4"/>
        <v>1870000</v>
      </c>
      <c r="L14" s="245">
        <f t="shared" si="4"/>
        <v>1870000</v>
      </c>
      <c r="M14" s="245">
        <f t="shared" si="4"/>
        <v>1870000</v>
      </c>
      <c r="N14" s="255">
        <f t="shared" si="4"/>
        <v>1870000</v>
      </c>
      <c r="O14" s="245">
        <f t="shared" si="4"/>
        <v>1870000</v>
      </c>
      <c r="P14" s="245">
        <f t="shared" si="4"/>
        <v>1870000</v>
      </c>
      <c r="Q14" s="245">
        <f t="shared" si="4"/>
        <v>1870000</v>
      </c>
      <c r="R14" s="245">
        <f t="shared" si="4"/>
        <v>1870000</v>
      </c>
      <c r="S14" s="245">
        <f t="shared" si="4"/>
        <v>1870000</v>
      </c>
      <c r="T14" s="245">
        <f t="shared" si="4"/>
        <v>1921000</v>
      </c>
      <c r="U14" s="245">
        <f t="shared" si="4"/>
        <v>1921000</v>
      </c>
      <c r="V14" s="245">
        <f t="shared" si="4"/>
        <v>1921000</v>
      </c>
      <c r="W14" s="189">
        <f t="shared" si="1"/>
        <v>39423000</v>
      </c>
      <c r="X14" s="189">
        <f>NPV('1сел'!$X$1,B14:V14)</f>
        <v>31913939.205153566</v>
      </c>
    </row>
    <row r="15" spans="1:25" x14ac:dyDescent="0.25">
      <c r="A15" s="48" t="s">
        <v>270</v>
      </c>
      <c r="B15" s="246">
        <f>B11-B6</f>
        <v>0</v>
      </c>
      <c r="C15" s="246">
        <f t="shared" si="4"/>
        <v>0</v>
      </c>
      <c r="D15" s="246">
        <f t="shared" si="4"/>
        <v>0</v>
      </c>
      <c r="E15" s="246">
        <f t="shared" si="4"/>
        <v>0</v>
      </c>
      <c r="F15" s="258">
        <f t="shared" si="4"/>
        <v>0</v>
      </c>
      <c r="G15" s="246">
        <f t="shared" si="4"/>
        <v>0</v>
      </c>
      <c r="H15" s="246">
        <f t="shared" si="4"/>
        <v>0</v>
      </c>
      <c r="I15" s="258">
        <f t="shared" si="4"/>
        <v>0</v>
      </c>
      <c r="J15" s="246">
        <f t="shared" si="4"/>
        <v>0</v>
      </c>
      <c r="K15" s="246">
        <f t="shared" si="4"/>
        <v>0</v>
      </c>
      <c r="L15" s="246">
        <f t="shared" si="4"/>
        <v>0</v>
      </c>
      <c r="M15" s="246">
        <f t="shared" si="4"/>
        <v>0</v>
      </c>
      <c r="N15" s="258">
        <f t="shared" si="4"/>
        <v>0</v>
      </c>
      <c r="O15" s="246">
        <f t="shared" si="4"/>
        <v>0</v>
      </c>
      <c r="P15" s="246">
        <f t="shared" si="4"/>
        <v>0</v>
      </c>
      <c r="Q15" s="246">
        <f t="shared" si="4"/>
        <v>0</v>
      </c>
      <c r="R15" s="246">
        <f t="shared" si="4"/>
        <v>-800.00000000000011</v>
      </c>
      <c r="S15" s="246">
        <f t="shared" si="4"/>
        <v>1240</v>
      </c>
      <c r="T15" s="246">
        <f t="shared" si="4"/>
        <v>0</v>
      </c>
      <c r="U15" s="246">
        <f t="shared" si="4"/>
        <v>0</v>
      </c>
      <c r="V15" s="246">
        <f t="shared" si="4"/>
        <v>0</v>
      </c>
      <c r="W15" s="189">
        <f t="shared" si="1"/>
        <v>439.99999999999989</v>
      </c>
      <c r="X15" s="189">
        <f>NPV('1сел'!$X$1,B15:V15)</f>
        <v>296.86757498542408</v>
      </c>
    </row>
    <row r="16" spans="1:25" x14ac:dyDescent="0.25">
      <c r="A16" s="48" t="s">
        <v>271</v>
      </c>
      <c r="B16" s="37">
        <f>SUM(B13:B15)</f>
        <v>1865603</v>
      </c>
      <c r="C16" s="37">
        <f t="shared" ref="C16:V16" si="5">SUM(C13:C15)</f>
        <v>1865603</v>
      </c>
      <c r="D16" s="37">
        <f t="shared" si="5"/>
        <v>1865603</v>
      </c>
      <c r="E16" s="37">
        <f t="shared" si="5"/>
        <v>1865603</v>
      </c>
      <c r="F16" s="257">
        <f t="shared" si="5"/>
        <v>1865603</v>
      </c>
      <c r="G16" s="37">
        <f t="shared" si="5"/>
        <v>1865603</v>
      </c>
      <c r="H16" s="37">
        <f t="shared" si="5"/>
        <v>1865603</v>
      </c>
      <c r="I16" s="257">
        <f t="shared" si="5"/>
        <v>1865603</v>
      </c>
      <c r="J16" s="37">
        <f t="shared" si="5"/>
        <v>1865603</v>
      </c>
      <c r="K16" s="37">
        <f t="shared" si="5"/>
        <v>1865603</v>
      </c>
      <c r="L16" s="37">
        <f t="shared" si="5"/>
        <v>1865603</v>
      </c>
      <c r="M16" s="37">
        <f t="shared" si="5"/>
        <v>1865603</v>
      </c>
      <c r="N16" s="257">
        <f t="shared" si="5"/>
        <v>1866512</v>
      </c>
      <c r="O16" s="37">
        <f t="shared" si="5"/>
        <v>1866512</v>
      </c>
      <c r="P16" s="37">
        <f t="shared" si="5"/>
        <v>1869993.7</v>
      </c>
      <c r="Q16" s="37">
        <f t="shared" si="5"/>
        <v>1870000</v>
      </c>
      <c r="R16" s="37">
        <f t="shared" si="5"/>
        <v>1869200</v>
      </c>
      <c r="S16" s="37">
        <f t="shared" si="5"/>
        <v>1869200</v>
      </c>
      <c r="T16" s="37">
        <f t="shared" si="5"/>
        <v>1929500</v>
      </c>
      <c r="U16" s="37">
        <f t="shared" si="5"/>
        <v>1929500</v>
      </c>
      <c r="V16" s="37">
        <f t="shared" si="5"/>
        <v>1929500</v>
      </c>
      <c r="W16" s="277">
        <f t="shared" si="1"/>
        <v>39387153.700000003</v>
      </c>
      <c r="X16" s="189">
        <f>NPV('1сел'!$X$1,B16:V16)</f>
        <v>31878126.497961242</v>
      </c>
    </row>
    <row r="17" spans="1:25" s="146" customFormat="1" x14ac:dyDescent="0.25">
      <c r="A17" s="195" t="s">
        <v>318</v>
      </c>
      <c r="B17" s="196">
        <f t="shared" ref="B17:V17" si="6">B22-B16</f>
        <v>0</v>
      </c>
      <c r="C17" s="196">
        <f t="shared" si="6"/>
        <v>0</v>
      </c>
      <c r="D17" s="196">
        <f t="shared" si="6"/>
        <v>0</v>
      </c>
      <c r="E17" s="196">
        <f t="shared" si="6"/>
        <v>0</v>
      </c>
      <c r="F17" s="196">
        <f t="shared" si="6"/>
        <v>0</v>
      </c>
      <c r="G17" s="196">
        <f t="shared" si="6"/>
        <v>0</v>
      </c>
      <c r="H17" s="196">
        <f t="shared" si="6"/>
        <v>0</v>
      </c>
      <c r="I17" s="196">
        <f t="shared" si="6"/>
        <v>0</v>
      </c>
      <c r="J17" s="196">
        <f t="shared" si="6"/>
        <v>0</v>
      </c>
      <c r="K17" s="196">
        <f t="shared" si="6"/>
        <v>0</v>
      </c>
      <c r="L17" s="196">
        <f t="shared" si="6"/>
        <v>0</v>
      </c>
      <c r="M17" s="196">
        <f t="shared" si="6"/>
        <v>0</v>
      </c>
      <c r="N17" s="196">
        <f t="shared" si="6"/>
        <v>0</v>
      </c>
      <c r="O17" s="196">
        <f t="shared" si="6"/>
        <v>0</v>
      </c>
      <c r="P17" s="196">
        <f t="shared" si="6"/>
        <v>0</v>
      </c>
      <c r="Q17" s="196">
        <f t="shared" si="6"/>
        <v>0</v>
      </c>
      <c r="R17" s="196">
        <f t="shared" si="6"/>
        <v>0</v>
      </c>
      <c r="S17" s="196">
        <f t="shared" si="6"/>
        <v>0</v>
      </c>
      <c r="T17" s="196">
        <f t="shared" si="6"/>
        <v>0</v>
      </c>
      <c r="U17" s="196">
        <f t="shared" si="6"/>
        <v>0</v>
      </c>
      <c r="V17" s="196">
        <f t="shared" si="6"/>
        <v>0</v>
      </c>
      <c r="W17" s="197">
        <f t="shared" si="1"/>
        <v>0</v>
      </c>
      <c r="X17" s="189">
        <f>NPV('1сел'!$X$1,B17:V17)</f>
        <v>0</v>
      </c>
      <c r="Y17" s="198"/>
    </row>
    <row r="18" spans="1:25" x14ac:dyDescent="0.25">
      <c r="A18" s="48" t="s">
        <v>272</v>
      </c>
      <c r="B18" s="48">
        <f>B12-B7</f>
        <v>1865603</v>
      </c>
      <c r="C18" s="48">
        <f t="shared" ref="C18:V18" si="7">C12-C7</f>
        <v>1865603</v>
      </c>
      <c r="D18" s="48">
        <f t="shared" si="7"/>
        <v>1865603</v>
      </c>
      <c r="E18" s="48">
        <f t="shared" si="7"/>
        <v>1865603</v>
      </c>
      <c r="F18" s="195">
        <f t="shared" si="7"/>
        <v>1865603</v>
      </c>
      <c r="G18" s="48">
        <f t="shared" si="7"/>
        <v>1865603</v>
      </c>
      <c r="H18" s="48">
        <f t="shared" si="7"/>
        <v>1865603</v>
      </c>
      <c r="I18" s="195">
        <f t="shared" si="7"/>
        <v>1865603</v>
      </c>
      <c r="J18" s="48">
        <f t="shared" si="7"/>
        <v>1865603</v>
      </c>
      <c r="K18" s="48">
        <f t="shared" si="7"/>
        <v>1865603</v>
      </c>
      <c r="L18" s="48">
        <f t="shared" si="7"/>
        <v>1865603</v>
      </c>
      <c r="M18" s="48">
        <f t="shared" si="7"/>
        <v>1865603</v>
      </c>
      <c r="N18" s="195">
        <f t="shared" si="7"/>
        <v>1866512</v>
      </c>
      <c r="O18" s="48">
        <f t="shared" si="7"/>
        <v>1866512</v>
      </c>
      <c r="P18" s="48">
        <f t="shared" si="7"/>
        <v>1869993.7</v>
      </c>
      <c r="Q18" s="48">
        <f t="shared" si="7"/>
        <v>1870000</v>
      </c>
      <c r="R18" s="48">
        <f t="shared" si="7"/>
        <v>1869200</v>
      </c>
      <c r="S18" s="48">
        <f t="shared" si="7"/>
        <v>1869200</v>
      </c>
      <c r="T18" s="48">
        <f t="shared" si="7"/>
        <v>1929500</v>
      </c>
      <c r="U18" s="48">
        <f t="shared" si="7"/>
        <v>1929500</v>
      </c>
      <c r="V18" s="48">
        <f t="shared" si="7"/>
        <v>1929500</v>
      </c>
      <c r="W18" s="277">
        <f t="shared" si="1"/>
        <v>39387153.700000003</v>
      </c>
      <c r="X18" s="189">
        <f>NPV('1сел'!$X$1,B18:V18)</f>
        <v>31878126.497961242</v>
      </c>
    </row>
    <row r="19" spans="1:25" s="21" customFormat="1" ht="12.75" x14ac:dyDescent="0.2">
      <c r="A19" s="21" t="s">
        <v>85</v>
      </c>
      <c r="B19" s="248">
        <f>'1сел'!B13</f>
        <v>-4397</v>
      </c>
      <c r="C19" s="248">
        <f>'1сел'!C13</f>
        <v>-4397</v>
      </c>
      <c r="D19" s="248">
        <f>'1сел'!D13</f>
        <v>-4397</v>
      </c>
      <c r="E19" s="248">
        <f>'1сел'!E13</f>
        <v>-4397</v>
      </c>
      <c r="F19" s="259">
        <f>'1сел'!F13</f>
        <v>-4397</v>
      </c>
      <c r="G19" s="248">
        <f>'1сел'!G13</f>
        <v>-4397</v>
      </c>
      <c r="H19" s="248">
        <f>'1сел'!H13</f>
        <v>-4397</v>
      </c>
      <c r="I19" s="259">
        <f>'1сел'!I13</f>
        <v>-4397</v>
      </c>
      <c r="J19" s="248">
        <f>'1сел'!J13</f>
        <v>-4397</v>
      </c>
      <c r="K19" s="248">
        <f>'1сел'!K13</f>
        <v>-4397</v>
      </c>
      <c r="L19" s="248">
        <f>'1сел'!L13</f>
        <v>-4397</v>
      </c>
      <c r="M19" s="248">
        <f>'1сел'!M13</f>
        <v>-4397</v>
      </c>
      <c r="N19" s="259">
        <f>'1сел'!N13</f>
        <v>-3488</v>
      </c>
      <c r="O19" s="248">
        <f>'1сел'!O13</f>
        <v>-3488</v>
      </c>
      <c r="P19" s="249">
        <f>'1сел'!P13</f>
        <v>-6.3</v>
      </c>
      <c r="Q19" s="248">
        <f>'1сел'!Q13</f>
        <v>0</v>
      </c>
      <c r="R19" s="248">
        <f>'1сел'!R13</f>
        <v>0</v>
      </c>
      <c r="S19" s="248">
        <f>'1сел'!S13</f>
        <v>-2040</v>
      </c>
      <c r="T19" s="248">
        <f>'1сел'!T13</f>
        <v>8500</v>
      </c>
      <c r="U19" s="248">
        <f>'1сел'!U13</f>
        <v>8500</v>
      </c>
      <c r="V19" s="248">
        <f>'1сел'!V13</f>
        <v>8500</v>
      </c>
      <c r="W19" s="189">
        <f t="shared" si="1"/>
        <v>-36286.300000000003</v>
      </c>
      <c r="X19" s="189">
        <f>NPV('1сел'!$X$1,B19:V19)</f>
        <v>-36109.574767312348</v>
      </c>
      <c r="Y19" s="190">
        <f>W19/$W$22</f>
        <v>-9.2127246046723097E-4</v>
      </c>
    </row>
    <row r="20" spans="1:25" x14ac:dyDescent="0.25">
      <c r="A20" t="s">
        <v>86</v>
      </c>
      <c r="B20" s="48">
        <f>'3товар'!B7*1000</f>
        <v>1870000</v>
      </c>
      <c r="C20" s="48">
        <f>'3товар'!C7*1000</f>
        <v>1870000</v>
      </c>
      <c r="D20" s="48">
        <f>'3товар'!D7*1000</f>
        <v>1870000</v>
      </c>
      <c r="E20" s="48">
        <f>'3товар'!E7*1000</f>
        <v>1870000</v>
      </c>
      <c r="F20" s="195">
        <f>'3товар'!F7*1000</f>
        <v>1870000</v>
      </c>
      <c r="G20" s="48">
        <f>'3товар'!G7*1000</f>
        <v>1870000</v>
      </c>
      <c r="H20" s="48">
        <f>'3товар'!H7*1000</f>
        <v>1870000</v>
      </c>
      <c r="I20" s="195">
        <f>'3товар'!I7*1000</f>
        <v>1870000</v>
      </c>
      <c r="J20" s="48">
        <f>'3товар'!J7*1000</f>
        <v>1870000</v>
      </c>
      <c r="K20" s="48">
        <f>'3товар'!K7*1000</f>
        <v>1870000</v>
      </c>
      <c r="L20" s="48">
        <f>'3товар'!L7*1000</f>
        <v>1870000</v>
      </c>
      <c r="M20" s="48">
        <f>'3товар'!M7*1000</f>
        <v>1870000</v>
      </c>
      <c r="N20" s="48">
        <f>'3товар'!N7*1000</f>
        <v>1870000</v>
      </c>
      <c r="O20" s="48">
        <f>'3товар'!O7*1000</f>
        <v>1870000</v>
      </c>
      <c r="P20" s="48">
        <f>'3товар'!P7*1000</f>
        <v>1870000</v>
      </c>
      <c r="Q20" s="48">
        <f>'3товар'!Q7*1000</f>
        <v>1870000</v>
      </c>
      <c r="R20" s="48">
        <f>'3товар'!R7*1000</f>
        <v>1870000</v>
      </c>
      <c r="S20" s="48">
        <f>'3товар'!S7*1000</f>
        <v>1870000</v>
      </c>
      <c r="T20" s="48">
        <f>'3товар'!T7*1000</f>
        <v>1921000</v>
      </c>
      <c r="U20" s="48">
        <f>'3товар'!U7*1000</f>
        <v>1921000</v>
      </c>
      <c r="V20" s="48">
        <f>'3товар'!V7*1000</f>
        <v>1921000</v>
      </c>
      <c r="W20" s="189">
        <f t="shared" si="1"/>
        <v>39423000</v>
      </c>
      <c r="X20" s="189">
        <f>NPV('1сел'!$X$1,B20:V20)</f>
        <v>31913939.205153566</v>
      </c>
      <c r="Y20" s="190">
        <f>W20/$W$22</f>
        <v>1.0009101013054416</v>
      </c>
    </row>
    <row r="21" spans="1:25" x14ac:dyDescent="0.25">
      <c r="A21" t="s">
        <v>87</v>
      </c>
      <c r="B21" s="215">
        <f>'2сем'!B13</f>
        <v>0</v>
      </c>
      <c r="C21" s="215">
        <f>'2сем'!C13</f>
        <v>0</v>
      </c>
      <c r="D21" s="215">
        <f>'2сем'!D13</f>
        <v>0</v>
      </c>
      <c r="E21" s="215">
        <f>'2сем'!E13</f>
        <v>0</v>
      </c>
      <c r="F21" s="215">
        <f>'2сем'!F13</f>
        <v>0</v>
      </c>
      <c r="G21" s="215">
        <f>'2сем'!G13</f>
        <v>0</v>
      </c>
      <c r="H21" s="215">
        <f>'2сем'!H13</f>
        <v>0</v>
      </c>
      <c r="I21" s="215">
        <f>'2сем'!I13</f>
        <v>0</v>
      </c>
      <c r="J21" s="215">
        <f>'2сем'!J13</f>
        <v>0</v>
      </c>
      <c r="K21" s="215">
        <f>'2сем'!K13</f>
        <v>0</v>
      </c>
      <c r="L21" s="215">
        <f>'2сем'!L13</f>
        <v>0</v>
      </c>
      <c r="M21" s="215">
        <f>'2сем'!M13</f>
        <v>0</v>
      </c>
      <c r="N21" s="254">
        <f>'2сем'!N13</f>
        <v>0</v>
      </c>
      <c r="O21" s="215">
        <f>'2сем'!O13</f>
        <v>0</v>
      </c>
      <c r="P21" s="215">
        <f>'2сем'!P13</f>
        <v>0</v>
      </c>
      <c r="Q21" s="215">
        <f>'2сем'!Q13</f>
        <v>0</v>
      </c>
      <c r="R21" s="215">
        <f>'2сем'!R13</f>
        <v>-800.00000000000011</v>
      </c>
      <c r="S21" s="215">
        <f>'2сем'!S13</f>
        <v>1240</v>
      </c>
      <c r="T21" s="215">
        <f>'2сем'!T13</f>
        <v>0</v>
      </c>
      <c r="U21" s="215">
        <f>'2сем'!U13</f>
        <v>0</v>
      </c>
      <c r="V21" s="215">
        <f>'2сем'!V13</f>
        <v>0</v>
      </c>
      <c r="W21" s="189">
        <f t="shared" si="1"/>
        <v>439.99999999999989</v>
      </c>
      <c r="X21" s="189">
        <f>NPV('1сел'!$X$1,B21:V21)</f>
        <v>296.86757498542408</v>
      </c>
      <c r="Y21" s="190">
        <f>W21/$W$22</f>
        <v>1.1171155025604194E-5</v>
      </c>
    </row>
    <row r="22" spans="1:25" s="192" customFormat="1" ht="12.75" x14ac:dyDescent="0.2">
      <c r="A22" s="192" t="s">
        <v>88</v>
      </c>
      <c r="B22" s="250">
        <f t="shared" ref="B22:V22" si="8">SUM(B19:B21)</f>
        <v>1865603</v>
      </c>
      <c r="C22" s="250">
        <f t="shared" si="8"/>
        <v>1865603</v>
      </c>
      <c r="D22" s="250">
        <f t="shared" si="8"/>
        <v>1865603</v>
      </c>
      <c r="E22" s="250">
        <f t="shared" si="8"/>
        <v>1865603</v>
      </c>
      <c r="F22" s="260">
        <f t="shared" si="8"/>
        <v>1865603</v>
      </c>
      <c r="G22" s="250">
        <f t="shared" si="8"/>
        <v>1865603</v>
      </c>
      <c r="H22" s="250">
        <f t="shared" si="8"/>
        <v>1865603</v>
      </c>
      <c r="I22" s="260">
        <f t="shared" si="8"/>
        <v>1865603</v>
      </c>
      <c r="J22" s="250">
        <f t="shared" si="8"/>
        <v>1865603</v>
      </c>
      <c r="K22" s="250">
        <f t="shared" si="8"/>
        <v>1865603</v>
      </c>
      <c r="L22" s="250">
        <f t="shared" si="8"/>
        <v>1865603</v>
      </c>
      <c r="M22" s="250">
        <f t="shared" si="8"/>
        <v>1865603</v>
      </c>
      <c r="N22" s="260">
        <f t="shared" si="8"/>
        <v>1866512</v>
      </c>
      <c r="O22" s="250">
        <f t="shared" si="8"/>
        <v>1866512</v>
      </c>
      <c r="P22" s="250">
        <f t="shared" si="8"/>
        <v>1869993.7</v>
      </c>
      <c r="Q22" s="250">
        <f t="shared" si="8"/>
        <v>1870000</v>
      </c>
      <c r="R22" s="250">
        <f t="shared" si="8"/>
        <v>1869200</v>
      </c>
      <c r="S22" s="250">
        <f t="shared" si="8"/>
        <v>1869200</v>
      </c>
      <c r="T22" s="250">
        <f t="shared" si="8"/>
        <v>1929500</v>
      </c>
      <c r="U22" s="250">
        <f t="shared" si="8"/>
        <v>1929500</v>
      </c>
      <c r="V22" s="250">
        <f t="shared" si="8"/>
        <v>1929500</v>
      </c>
      <c r="W22" s="277">
        <f t="shared" si="1"/>
        <v>39387153.700000003</v>
      </c>
      <c r="X22" s="189">
        <f>NPV('1сел'!$X$1,B22:V22)</f>
        <v>31878126.497961242</v>
      </c>
      <c r="Y22" s="190">
        <f>W22/$W$22</f>
        <v>1</v>
      </c>
    </row>
    <row r="23" spans="1:25" s="192" customFormat="1" ht="12.75" x14ac:dyDescent="0.2">
      <c r="A23" s="48" t="s">
        <v>335</v>
      </c>
      <c r="B23" s="250"/>
      <c r="C23" s="250"/>
      <c r="D23" s="250"/>
      <c r="E23" s="250"/>
      <c r="F23" s="260"/>
      <c r="G23" s="250"/>
      <c r="H23" s="250"/>
      <c r="I23" s="260"/>
      <c r="J23" s="250"/>
      <c r="K23" s="250"/>
      <c r="L23" s="250"/>
      <c r="M23" s="250"/>
      <c r="N23" s="260"/>
      <c r="O23" s="250"/>
      <c r="P23" s="250"/>
      <c r="Q23" s="250"/>
      <c r="R23" s="250"/>
      <c r="S23" s="250"/>
      <c r="T23" s="250"/>
      <c r="U23" s="250"/>
      <c r="V23" s="250"/>
      <c r="W23" s="189"/>
      <c r="X23" s="189"/>
      <c r="Y23" s="190"/>
    </row>
    <row r="24" spans="1:25" s="192" customFormat="1" ht="12.75" x14ac:dyDescent="0.2">
      <c r="A24" s="192" t="s">
        <v>320</v>
      </c>
      <c r="B24" s="250">
        <f>B19</f>
        <v>-4397</v>
      </c>
      <c r="C24" s="250">
        <f>B24+C19</f>
        <v>-8794</v>
      </c>
      <c r="D24" s="250">
        <f t="shared" ref="D24:V26" si="9">C24+D19</f>
        <v>-13191</v>
      </c>
      <c r="E24" s="250">
        <f t="shared" si="9"/>
        <v>-17588</v>
      </c>
      <c r="F24" s="250">
        <f t="shared" si="9"/>
        <v>-21985</v>
      </c>
      <c r="G24" s="250">
        <f t="shared" si="9"/>
        <v>-26382</v>
      </c>
      <c r="H24" s="250">
        <f t="shared" si="9"/>
        <v>-30779</v>
      </c>
      <c r="I24" s="250">
        <f t="shared" si="9"/>
        <v>-35176</v>
      </c>
      <c r="J24" s="250">
        <f t="shared" si="9"/>
        <v>-39573</v>
      </c>
      <c r="K24" s="250">
        <f t="shared" si="9"/>
        <v>-43970</v>
      </c>
      <c r="L24" s="250">
        <f t="shared" si="9"/>
        <v>-48367</v>
      </c>
      <c r="M24" s="250">
        <f t="shared" si="9"/>
        <v>-52764</v>
      </c>
      <c r="N24" s="250">
        <f t="shared" si="9"/>
        <v>-56252</v>
      </c>
      <c r="O24" s="250">
        <f t="shared" si="9"/>
        <v>-59740</v>
      </c>
      <c r="P24" s="250">
        <f t="shared" si="9"/>
        <v>-59746.3</v>
      </c>
      <c r="Q24" s="250">
        <f t="shared" si="9"/>
        <v>-59746.3</v>
      </c>
      <c r="R24" s="250">
        <f t="shared" si="9"/>
        <v>-59746.3</v>
      </c>
      <c r="S24" s="250">
        <f t="shared" si="9"/>
        <v>-61786.3</v>
      </c>
      <c r="T24" s="250">
        <f t="shared" si="9"/>
        <v>-53286.3</v>
      </c>
      <c r="U24" s="250">
        <f t="shared" si="9"/>
        <v>-44786.3</v>
      </c>
      <c r="V24" s="250">
        <f t="shared" si="9"/>
        <v>-36286.300000000003</v>
      </c>
      <c r="W24" s="189" t="s">
        <v>338</v>
      </c>
      <c r="X24" s="189"/>
      <c r="Y24" s="190"/>
    </row>
    <row r="25" spans="1:25" s="192" customFormat="1" ht="12.75" x14ac:dyDescent="0.2">
      <c r="A25" s="192" t="s">
        <v>336</v>
      </c>
      <c r="B25" s="250">
        <f>B20</f>
        <v>1870000</v>
      </c>
      <c r="C25" s="250">
        <f t="shared" ref="C25:R26" si="10">B25+C20</f>
        <v>3740000</v>
      </c>
      <c r="D25" s="250">
        <f t="shared" si="10"/>
        <v>5610000</v>
      </c>
      <c r="E25" s="250">
        <f t="shared" si="10"/>
        <v>7480000</v>
      </c>
      <c r="F25" s="250">
        <f t="shared" si="10"/>
        <v>9350000</v>
      </c>
      <c r="G25" s="250">
        <f t="shared" si="10"/>
        <v>11220000</v>
      </c>
      <c r="H25" s="250">
        <f t="shared" si="10"/>
        <v>13090000</v>
      </c>
      <c r="I25" s="250">
        <f t="shared" si="10"/>
        <v>14960000</v>
      </c>
      <c r="J25" s="250">
        <f t="shared" si="10"/>
        <v>16830000</v>
      </c>
      <c r="K25" s="250">
        <f t="shared" si="10"/>
        <v>18700000</v>
      </c>
      <c r="L25" s="250">
        <f t="shared" si="10"/>
        <v>20570000</v>
      </c>
      <c r="M25" s="250">
        <f t="shared" si="10"/>
        <v>22440000</v>
      </c>
      <c r="N25" s="250">
        <f t="shared" si="10"/>
        <v>24310000</v>
      </c>
      <c r="O25" s="250">
        <f t="shared" si="10"/>
        <v>26180000</v>
      </c>
      <c r="P25" s="250">
        <f t="shared" si="10"/>
        <v>28050000</v>
      </c>
      <c r="Q25" s="250">
        <f t="shared" si="10"/>
        <v>29920000</v>
      </c>
      <c r="R25" s="250">
        <f t="shared" si="10"/>
        <v>31790000</v>
      </c>
      <c r="S25" s="250">
        <f t="shared" si="9"/>
        <v>33660000</v>
      </c>
      <c r="T25" s="250">
        <f t="shared" si="9"/>
        <v>35581000</v>
      </c>
      <c r="U25" s="250">
        <f t="shared" si="9"/>
        <v>37502000</v>
      </c>
      <c r="V25" s="250">
        <f t="shared" si="9"/>
        <v>39423000</v>
      </c>
      <c r="W25" s="189"/>
      <c r="X25" s="189"/>
      <c r="Y25" s="190"/>
    </row>
    <row r="26" spans="1:25" s="192" customFormat="1" ht="12.75" x14ac:dyDescent="0.2">
      <c r="A26" s="192" t="s">
        <v>322</v>
      </c>
      <c r="B26" s="250">
        <f>B21</f>
        <v>0</v>
      </c>
      <c r="C26" s="250">
        <f t="shared" si="10"/>
        <v>0</v>
      </c>
      <c r="D26" s="250">
        <f t="shared" si="9"/>
        <v>0</v>
      </c>
      <c r="E26" s="250">
        <f t="shared" si="9"/>
        <v>0</v>
      </c>
      <c r="F26" s="250">
        <f t="shared" si="9"/>
        <v>0</v>
      </c>
      <c r="G26" s="250">
        <f t="shared" si="9"/>
        <v>0</v>
      </c>
      <c r="H26" s="250">
        <f t="shared" si="9"/>
        <v>0</v>
      </c>
      <c r="I26" s="250">
        <f t="shared" si="9"/>
        <v>0</v>
      </c>
      <c r="J26" s="250">
        <f t="shared" si="9"/>
        <v>0</v>
      </c>
      <c r="K26" s="250">
        <f t="shared" si="9"/>
        <v>0</v>
      </c>
      <c r="L26" s="250">
        <f t="shared" si="9"/>
        <v>0</v>
      </c>
      <c r="M26" s="250">
        <f t="shared" si="9"/>
        <v>0</v>
      </c>
      <c r="N26" s="250">
        <f t="shared" si="9"/>
        <v>0</v>
      </c>
      <c r="O26" s="250">
        <f t="shared" si="9"/>
        <v>0</v>
      </c>
      <c r="P26" s="250">
        <f t="shared" si="9"/>
        <v>0</v>
      </c>
      <c r="Q26" s="250">
        <f t="shared" si="9"/>
        <v>0</v>
      </c>
      <c r="R26" s="250">
        <f t="shared" si="9"/>
        <v>-800.00000000000011</v>
      </c>
      <c r="S26" s="250">
        <f t="shared" si="9"/>
        <v>439.99999999999989</v>
      </c>
      <c r="T26" s="250">
        <f t="shared" si="9"/>
        <v>439.99999999999989</v>
      </c>
      <c r="U26" s="250">
        <f t="shared" si="9"/>
        <v>439.99999999999989</v>
      </c>
      <c r="V26" s="250">
        <f t="shared" si="9"/>
        <v>439.99999999999989</v>
      </c>
      <c r="W26" s="189"/>
      <c r="X26" s="189"/>
      <c r="Y26" s="190"/>
    </row>
    <row r="27" spans="1:25" s="192" customFormat="1" ht="12.75" x14ac:dyDescent="0.2">
      <c r="A27" s="192" t="s">
        <v>337</v>
      </c>
      <c r="B27" s="250">
        <f>SUM(B24:B26)</f>
        <v>1865603</v>
      </c>
      <c r="C27" s="250">
        <f>B27+SUM(C19:C21)</f>
        <v>3731206</v>
      </c>
      <c r="D27" s="250">
        <f t="shared" ref="D27:S27" si="11">C27+SUM(D19:D21)</f>
        <v>5596809</v>
      </c>
      <c r="E27" s="250">
        <f t="shared" si="11"/>
        <v>7462412</v>
      </c>
      <c r="F27" s="250">
        <f t="shared" si="11"/>
        <v>9328015</v>
      </c>
      <c r="G27" s="250">
        <f t="shared" si="11"/>
        <v>11193618</v>
      </c>
      <c r="H27" s="250">
        <f t="shared" si="11"/>
        <v>13059221</v>
      </c>
      <c r="I27" s="250">
        <f t="shared" si="11"/>
        <v>14924824</v>
      </c>
      <c r="J27" s="250">
        <f t="shared" si="11"/>
        <v>16790427</v>
      </c>
      <c r="K27" s="250">
        <f t="shared" si="11"/>
        <v>18656030</v>
      </c>
      <c r="L27" s="250">
        <f t="shared" si="11"/>
        <v>20521633</v>
      </c>
      <c r="M27" s="250">
        <f t="shared" si="11"/>
        <v>22387236</v>
      </c>
      <c r="N27" s="250">
        <f t="shared" si="11"/>
        <v>24253748</v>
      </c>
      <c r="O27" s="250">
        <f t="shared" si="11"/>
        <v>26120260</v>
      </c>
      <c r="P27" s="250">
        <f t="shared" si="11"/>
        <v>27990253.699999999</v>
      </c>
      <c r="Q27" s="250">
        <f t="shared" si="11"/>
        <v>29860253.699999999</v>
      </c>
      <c r="R27" s="250">
        <f t="shared" si="11"/>
        <v>31729453.699999999</v>
      </c>
      <c r="S27" s="250">
        <f t="shared" si="11"/>
        <v>33598653.700000003</v>
      </c>
      <c r="T27" s="250">
        <f>S27+SUM(T19:T21)</f>
        <v>35528153.700000003</v>
      </c>
      <c r="U27" s="250">
        <f>T27+SUM(U19:U21)</f>
        <v>37457653.700000003</v>
      </c>
      <c r="V27" s="250">
        <f>U27+SUM(V19:V21)</f>
        <v>39387153.700000003</v>
      </c>
      <c r="W27" s="189"/>
      <c r="X27" s="189"/>
      <c r="Y27" s="190"/>
    </row>
    <row r="28" spans="1:25" s="192" customFormat="1" ht="12.75" x14ac:dyDescent="0.2">
      <c r="A28" s="192" t="s">
        <v>340</v>
      </c>
      <c r="B28" s="250"/>
      <c r="C28" s="250"/>
      <c r="D28" s="250"/>
      <c r="E28" s="250"/>
      <c r="F28" s="260"/>
      <c r="G28" s="250"/>
      <c r="H28" s="250"/>
      <c r="I28" s="260"/>
      <c r="J28" s="250"/>
      <c r="K28" s="250"/>
      <c r="L28" s="250"/>
      <c r="M28" s="250"/>
      <c r="N28" s="260"/>
      <c r="O28" s="250"/>
      <c r="P28" s="250"/>
      <c r="Q28" s="250"/>
      <c r="R28" s="250"/>
      <c r="S28" s="250"/>
      <c r="T28" s="250"/>
      <c r="U28" s="250"/>
      <c r="V28" s="250"/>
      <c r="W28" s="189"/>
      <c r="X28" s="189"/>
      <c r="Y28" s="190"/>
    </row>
    <row r="29" spans="1:25" s="192" customFormat="1" ht="12.75" x14ac:dyDescent="0.2">
      <c r="B29" s="250"/>
      <c r="C29" s="250"/>
      <c r="D29" s="250"/>
      <c r="E29" s="250"/>
      <c r="F29" s="260"/>
      <c r="G29" s="250"/>
      <c r="H29" s="250"/>
      <c r="I29" s="260"/>
      <c r="J29" s="250"/>
      <c r="K29" s="250"/>
      <c r="L29" s="250"/>
      <c r="M29" s="250"/>
      <c r="N29" s="260"/>
      <c r="O29" s="250"/>
      <c r="P29" s="250"/>
      <c r="Q29" s="250"/>
      <c r="R29" s="250"/>
      <c r="S29" s="250"/>
      <c r="T29" s="250"/>
      <c r="U29" s="250"/>
      <c r="V29" s="250"/>
      <c r="W29" s="189"/>
      <c r="X29" s="189"/>
      <c r="Y29" s="190"/>
    </row>
    <row r="30" spans="1:25" s="192" customFormat="1" ht="12.75" x14ac:dyDescent="0.2">
      <c r="B30" s="250"/>
      <c r="C30" s="250"/>
      <c r="D30" s="250"/>
      <c r="E30" s="250"/>
      <c r="F30" s="260"/>
      <c r="G30" s="250"/>
      <c r="H30" s="250"/>
      <c r="I30" s="260"/>
      <c r="J30" s="250"/>
      <c r="K30" s="250"/>
      <c r="L30" s="250"/>
      <c r="M30" s="250"/>
      <c r="N30" s="260"/>
      <c r="O30" s="250"/>
      <c r="P30" s="250"/>
      <c r="Q30" s="250"/>
      <c r="R30" s="250"/>
      <c r="S30" s="250"/>
      <c r="T30" s="250"/>
      <c r="U30" s="250"/>
      <c r="V30" s="250"/>
      <c r="W30" s="189"/>
      <c r="X30" s="189"/>
      <c r="Y30" s="190"/>
    </row>
    <row r="31" spans="1:25" ht="18.75" x14ac:dyDescent="0.3">
      <c r="A31" s="262" t="s">
        <v>339</v>
      </c>
      <c r="B31" s="262"/>
      <c r="C31" s="262"/>
      <c r="W31" s="189"/>
      <c r="X31" s="189"/>
    </row>
    <row r="32" spans="1:25" x14ac:dyDescent="0.25">
      <c r="A32" s="244" t="s">
        <v>259</v>
      </c>
      <c r="B32" s="261">
        <f>('1сел'!B22+'1сел'!B23+'1сел'!B24+'1сел'!B25+'1сел'!B26+'1сел'!B29)</f>
        <v>12000</v>
      </c>
      <c r="C32" s="261">
        <f>('1сел'!C22+'1сел'!C23+'1сел'!C24+'1сел'!C25+'1сел'!C26+'1сел'!C29)</f>
        <v>3072</v>
      </c>
      <c r="D32" s="261">
        <f>('1сел'!D22+'1сел'!D23+'1сел'!D24+'1сел'!D25+'1сел'!D26+'1сел'!D29)</f>
        <v>4397</v>
      </c>
      <c r="E32" s="261">
        <f>('1сел'!E22+'1сел'!E23+'1сел'!E24+'1сел'!E25+'1сел'!E26+'1сел'!E29)</f>
        <v>4397</v>
      </c>
      <c r="F32" s="261">
        <f>('1сел'!F22+'1сел'!F23+'1сел'!F24+'1сел'!F25+'1сел'!F26+'1сел'!F29)</f>
        <v>56</v>
      </c>
      <c r="G32" s="261">
        <f>('1сел'!G22+'1сел'!G23+'1сел'!G24+'1сел'!G25+'1сел'!G26+'1сел'!G29)</f>
        <v>6.3</v>
      </c>
      <c r="H32" s="261">
        <f>('1сел'!H22+'1сел'!H23+'1сел'!H24+'1сел'!H25+'1сел'!H26+'1сел'!H29)</f>
        <v>0</v>
      </c>
      <c r="I32" s="261">
        <f>('1сел'!I22+'1сел'!I23+'1сел'!I24+'1сел'!I25+'1сел'!I26+'1сел'!I29)</f>
        <v>0</v>
      </c>
      <c r="J32" s="261">
        <f>('1сел'!J22+'1сел'!J23+'1сел'!J24+'1сел'!J25+'1сел'!J26+'1сел'!J29)</f>
        <v>2040</v>
      </c>
      <c r="K32" s="261">
        <f>('1сел'!K22+'1сел'!K23+'1сел'!K24+'1сел'!K25+'1сел'!K26+'1сел'!K29)</f>
        <v>0</v>
      </c>
      <c r="L32" s="261">
        <f>('1сел'!L22+'1сел'!L23+'1сел'!L24+'1сел'!L25+'1сел'!L26+'1сел'!L29)</f>
        <v>0</v>
      </c>
      <c r="M32" s="261">
        <f>('1сел'!M22+'1сел'!M23+'1сел'!M24+'1сел'!M25+'1сел'!M26+'1сел'!M29)</f>
        <v>2040</v>
      </c>
      <c r="N32" s="261">
        <f>('1сел'!N22+'1сел'!N23+'1сел'!N24+'1сел'!N25+'1сел'!N26+'1сел'!N29)</f>
        <v>0</v>
      </c>
      <c r="O32" s="261">
        <f>('1сел'!O22+'1сел'!O23+'1сел'!O24+'1сел'!O25+'1сел'!O26+'1сел'!O29)</f>
        <v>0</v>
      </c>
      <c r="P32" s="261">
        <f>('1сел'!P22+'1сел'!P23+'1сел'!P24+'1сел'!P25+'1сел'!P26+'1сел'!P29)</f>
        <v>2040</v>
      </c>
      <c r="Q32" s="261">
        <f>('1сел'!Q22+'1сел'!Q23+'1сел'!Q24+'1сел'!Q25+'1сел'!Q26+'1сел'!Q29)</f>
        <v>0</v>
      </c>
      <c r="R32" s="261">
        <f>('1сел'!R22+'1сел'!R23+'1сел'!R24+'1сел'!R25+'1сел'!R26+'1сел'!R29)</f>
        <v>0</v>
      </c>
      <c r="S32" s="261">
        <f>('1сел'!S22+'1сел'!S23+'1сел'!S24+'1сел'!S25+'1сел'!S26+'1сел'!S29)</f>
        <v>2040</v>
      </c>
      <c r="T32" s="261">
        <f>('1сел'!T22+'1сел'!T23+'1сел'!T24+'1сел'!T25+'1сел'!T26+'1сел'!T29)</f>
        <v>0</v>
      </c>
      <c r="U32" s="261">
        <f>('1сел'!U22+'1сел'!U23+'1сел'!U24+'1сел'!U25+'1сел'!U26+'1сел'!U29)</f>
        <v>0</v>
      </c>
      <c r="V32" s="261">
        <f>('1сел'!V22+'1сел'!V23+'1сел'!V24+'1сел'!V25+'1сел'!V26+'1сел'!V29)</f>
        <v>0</v>
      </c>
      <c r="W32" s="189">
        <f t="shared" ref="W32:W46" si="12">SUM(B32:V32)</f>
        <v>32088.3</v>
      </c>
      <c r="X32" s="189">
        <f>NPV('1сел'!$X$1,B32:V32)</f>
        <v>29238.853161289477</v>
      </c>
    </row>
    <row r="33" spans="1:25" x14ac:dyDescent="0.25">
      <c r="A33" s="244" t="s">
        <v>261</v>
      </c>
      <c r="B33" s="58">
        <f>('3товар'!B15+'3товар'!B16)*1000</f>
        <v>935000</v>
      </c>
      <c r="C33" s="58">
        <f>('3товар'!C15+'3товар'!C16)*1000</f>
        <v>935000</v>
      </c>
      <c r="D33" s="58">
        <f>('3товар'!D15+'3товар'!D16)*1000</f>
        <v>935000</v>
      </c>
      <c r="E33" s="58">
        <f>('3товар'!E15+'3товар'!E16)*1000</f>
        <v>935000</v>
      </c>
      <c r="F33" s="58">
        <f>('3товар'!F15+'3товар'!F16)*1000</f>
        <v>935000</v>
      </c>
      <c r="G33" s="58">
        <f>('3товар'!G15+'3товар'!G16)*1000</f>
        <v>935000</v>
      </c>
      <c r="H33" s="58">
        <f>('3товар'!H15+'3товар'!H16)*1000</f>
        <v>935000</v>
      </c>
      <c r="I33" s="58">
        <f>('3товар'!I15+'3товар'!I16)*1000</f>
        <v>935000</v>
      </c>
      <c r="J33" s="58">
        <f>('3товар'!J15+'3товар'!J16)*1000</f>
        <v>935000</v>
      </c>
      <c r="K33" s="58">
        <f>('3товар'!K15+'3товар'!K16)*1000</f>
        <v>884000</v>
      </c>
      <c r="L33" s="58">
        <f>('3товар'!L15+'3товар'!L16)*1000</f>
        <v>884000</v>
      </c>
      <c r="M33" s="58">
        <f>('3товар'!M15+'3товар'!M16)*1000</f>
        <v>884000</v>
      </c>
      <c r="N33" s="58">
        <f>('3товар'!N15+'3товар'!N16)*1000</f>
        <v>884000</v>
      </c>
      <c r="O33" s="58">
        <f>('3товар'!O15+'3товар'!O16)*1000</f>
        <v>884000</v>
      </c>
      <c r="P33" s="58">
        <f>('3товар'!P15+'3товар'!P16)*1000</f>
        <v>884000</v>
      </c>
      <c r="Q33" s="58">
        <f>('3товар'!Q15+'3товар'!Q16)*1000</f>
        <v>884000</v>
      </c>
      <c r="R33" s="58">
        <f>('3товар'!R15+'3товар'!R16)*1000</f>
        <v>884000</v>
      </c>
      <c r="S33" s="58">
        <f>('3товар'!S15+'3товар'!S16)*1000</f>
        <v>884000</v>
      </c>
      <c r="T33" s="58">
        <f>('3товар'!T15+'3товар'!T16)*1000</f>
        <v>884000</v>
      </c>
      <c r="U33" s="58">
        <f>('3товар'!U15+'3товар'!U16)*1000</f>
        <v>884000</v>
      </c>
      <c r="V33" s="58">
        <f>('3товар'!V15+'3товар'!V16)*1000</f>
        <v>884000</v>
      </c>
      <c r="W33" s="189">
        <f t="shared" si="12"/>
        <v>19023000</v>
      </c>
      <c r="X33" s="189">
        <f>NPV('1сел'!$X$1,B33:V33)</f>
        <v>15454182.970675552</v>
      </c>
    </row>
    <row r="34" spans="1:25" s="147" customFormat="1" x14ac:dyDescent="0.25">
      <c r="A34" s="268" t="s">
        <v>260</v>
      </c>
      <c r="B34" s="269">
        <f>'2сем'!B29</f>
        <v>0</v>
      </c>
      <c r="C34" s="269">
        <f>'2сем'!C29</f>
        <v>0</v>
      </c>
      <c r="D34" s="269">
        <f>'2сем'!D29</f>
        <v>0</v>
      </c>
      <c r="E34" s="269">
        <f>'2сем'!E29</f>
        <v>0</v>
      </c>
      <c r="F34" s="269">
        <f>'2сем'!F29</f>
        <v>0</v>
      </c>
      <c r="G34" s="269">
        <f>'2сем'!G29</f>
        <v>0</v>
      </c>
      <c r="H34" s="269">
        <f>'2сем'!H29</f>
        <v>0</v>
      </c>
      <c r="I34" s="269">
        <f>'2сем'!I29</f>
        <v>800.00000000000011</v>
      </c>
      <c r="J34" s="269">
        <f>'2сем'!J29</f>
        <v>800.00000000000011</v>
      </c>
      <c r="K34" s="269">
        <f>'2сем'!K29</f>
        <v>0</v>
      </c>
      <c r="L34" s="269">
        <f>'2сем'!L29</f>
        <v>800.00000000000011</v>
      </c>
      <c r="M34" s="269">
        <f>'2сем'!M29</f>
        <v>800.00000000000011</v>
      </c>
      <c r="N34" s="269">
        <f>'2сем'!N29</f>
        <v>0</v>
      </c>
      <c r="O34" s="269">
        <f>'2сем'!O29</f>
        <v>800.00000000000011</v>
      </c>
      <c r="P34" s="269">
        <f>'2сем'!P29</f>
        <v>800.00000000000011</v>
      </c>
      <c r="Q34" s="269">
        <f>'2сем'!Q29</f>
        <v>0</v>
      </c>
      <c r="R34" s="269">
        <f>'2сем'!R29</f>
        <v>800.00000000000011</v>
      </c>
      <c r="S34" s="269">
        <f>'2сем'!S29</f>
        <v>800.00000000000011</v>
      </c>
      <c r="T34" s="269">
        <f>'2сем'!T29</f>
        <v>0</v>
      </c>
      <c r="U34" s="269">
        <f>'2сем'!U29</f>
        <v>0</v>
      </c>
      <c r="V34" s="269">
        <f>'2сем'!V29</f>
        <v>0</v>
      </c>
      <c r="W34" s="270">
        <f t="shared" si="12"/>
        <v>6400.0000000000009</v>
      </c>
      <c r="X34" s="270">
        <f>NPV('1сел'!$X$1,B34:V34)</f>
        <v>4958.5708349960669</v>
      </c>
      <c r="Y34" s="145"/>
    </row>
    <row r="35" spans="1:25" x14ac:dyDescent="0.25">
      <c r="A35" s="40" t="s">
        <v>263</v>
      </c>
      <c r="B35" s="40">
        <f>SUM(B32:B34)</f>
        <v>947000</v>
      </c>
      <c r="C35" s="40">
        <f t="shared" ref="C35:V35" si="13">SUM(C32:C34)</f>
        <v>938072</v>
      </c>
      <c r="D35" s="40">
        <f t="shared" si="13"/>
        <v>939397</v>
      </c>
      <c r="E35" s="40">
        <f t="shared" si="13"/>
        <v>939397</v>
      </c>
      <c r="F35" s="40">
        <f t="shared" si="13"/>
        <v>935056</v>
      </c>
      <c r="G35" s="40">
        <f t="shared" si="13"/>
        <v>935006.3</v>
      </c>
      <c r="H35" s="40">
        <f t="shared" si="13"/>
        <v>935000</v>
      </c>
      <c r="I35" s="40">
        <f t="shared" si="13"/>
        <v>935800</v>
      </c>
      <c r="J35" s="40">
        <f t="shared" si="13"/>
        <v>937840</v>
      </c>
      <c r="K35" s="40">
        <f t="shared" si="13"/>
        <v>884000</v>
      </c>
      <c r="L35" s="40">
        <f t="shared" si="13"/>
        <v>884800</v>
      </c>
      <c r="M35" s="40">
        <f t="shared" si="13"/>
        <v>886840</v>
      </c>
      <c r="N35" s="40">
        <f t="shared" si="13"/>
        <v>884000</v>
      </c>
      <c r="O35" s="40">
        <f t="shared" si="13"/>
        <v>884800</v>
      </c>
      <c r="P35" s="40">
        <f t="shared" si="13"/>
        <v>886840</v>
      </c>
      <c r="Q35" s="40">
        <f t="shared" si="13"/>
        <v>884000</v>
      </c>
      <c r="R35" s="40">
        <f t="shared" si="13"/>
        <v>884800</v>
      </c>
      <c r="S35" s="40">
        <f t="shared" si="13"/>
        <v>886840</v>
      </c>
      <c r="T35" s="40">
        <f t="shared" si="13"/>
        <v>884000</v>
      </c>
      <c r="U35" s="40">
        <f t="shared" si="13"/>
        <v>884000</v>
      </c>
      <c r="V35" s="40">
        <f t="shared" si="13"/>
        <v>884000</v>
      </c>
      <c r="W35" s="189">
        <f t="shared" si="12"/>
        <v>19061488.300000001</v>
      </c>
      <c r="X35" s="189">
        <f>NPV('1сел'!$X$1,B35:V35)</f>
        <v>15488380.394671835</v>
      </c>
    </row>
    <row r="36" spans="1:25" x14ac:dyDescent="0.25">
      <c r="A36" s="201" t="s">
        <v>341</v>
      </c>
      <c r="W36" s="189">
        <f t="shared" si="12"/>
        <v>0</v>
      </c>
      <c r="X36" s="189">
        <f>NPV('1сел'!$X$1,B36:V36)</f>
        <v>0</v>
      </c>
    </row>
    <row r="37" spans="1:25" x14ac:dyDescent="0.25">
      <c r="A37" s="191" t="s">
        <v>265</v>
      </c>
      <c r="B37" s="215">
        <f>'1сел'!B30</f>
        <v>0</v>
      </c>
      <c r="C37" s="215">
        <f>'1сел'!C30</f>
        <v>0</v>
      </c>
      <c r="D37" s="215">
        <f>'1сел'!D30</f>
        <v>0</v>
      </c>
      <c r="E37" s="215">
        <f>'1сел'!E30</f>
        <v>0</v>
      </c>
      <c r="F37" s="215">
        <f>'1сел'!F30</f>
        <v>0</v>
      </c>
      <c r="G37" s="215">
        <f>'1сел'!G30</f>
        <v>0</v>
      </c>
      <c r="H37" s="215">
        <f>'1сел'!H30</f>
        <v>0</v>
      </c>
      <c r="I37" s="215">
        <f>'1сел'!I30</f>
        <v>0</v>
      </c>
      <c r="J37" s="215">
        <f>'1сел'!J30</f>
        <v>0</v>
      </c>
      <c r="K37" s="215">
        <f>'1сел'!K30</f>
        <v>8500</v>
      </c>
      <c r="L37" s="215">
        <f>'1сел'!L30</f>
        <v>8500</v>
      </c>
      <c r="M37" s="215">
        <f>'1сел'!M30</f>
        <v>8500</v>
      </c>
      <c r="N37" s="215">
        <f>'1сел'!N30</f>
        <v>8500</v>
      </c>
      <c r="O37" s="215">
        <f>'1сел'!O30</f>
        <v>8500</v>
      </c>
      <c r="P37" s="215">
        <f>'1сел'!P30</f>
        <v>8500</v>
      </c>
      <c r="Q37" s="215">
        <f>'1сел'!Q30</f>
        <v>8500</v>
      </c>
      <c r="R37" s="215">
        <f>'1сел'!R30</f>
        <v>8500</v>
      </c>
      <c r="S37" s="215">
        <f>'1сел'!S30</f>
        <v>8500</v>
      </c>
      <c r="T37" s="215">
        <f>'1сел'!T30</f>
        <v>8500</v>
      </c>
      <c r="U37" s="215">
        <f>'1сел'!U30</f>
        <v>8500</v>
      </c>
      <c r="V37" s="215">
        <f>'1сел'!V30</f>
        <v>8500</v>
      </c>
      <c r="W37" s="189">
        <f t="shared" si="12"/>
        <v>102000</v>
      </c>
      <c r="X37" s="189">
        <f>NPV('1сел'!$X$1,B37:V37)</f>
        <v>75216.265867522423</v>
      </c>
    </row>
    <row r="38" spans="1:25" x14ac:dyDescent="0.25">
      <c r="A38" s="191" t="s">
        <v>267</v>
      </c>
      <c r="B38" s="245">
        <f>'3товар'!B17*1000</f>
        <v>2805000</v>
      </c>
      <c r="C38" s="245">
        <f>'3товар'!C17*1000</f>
        <v>2805000</v>
      </c>
      <c r="D38" s="245">
        <f>'3товар'!D17*1000</f>
        <v>2805000</v>
      </c>
      <c r="E38" s="245">
        <f>'3товар'!E17*1000</f>
        <v>2805000</v>
      </c>
      <c r="F38" s="245">
        <f>'3товар'!F17*1000</f>
        <v>2805000</v>
      </c>
      <c r="G38" s="245">
        <f>'3товар'!G17*1000</f>
        <v>2805000</v>
      </c>
      <c r="H38" s="245">
        <f>'3товар'!H17*1000</f>
        <v>2805000</v>
      </c>
      <c r="I38" s="245">
        <f>'3товар'!I17*1000</f>
        <v>2805000</v>
      </c>
      <c r="J38" s="245">
        <f>'3товар'!J17*1000</f>
        <v>2805000</v>
      </c>
      <c r="K38" s="245">
        <f>'3товар'!K17*1000</f>
        <v>2805000</v>
      </c>
      <c r="L38" s="245">
        <f>'3товар'!L17*1000</f>
        <v>2805000</v>
      </c>
      <c r="M38" s="245">
        <f>'3товар'!M17*1000</f>
        <v>2805000</v>
      </c>
      <c r="N38" s="245">
        <f>'3товар'!N17*1000</f>
        <v>2805000</v>
      </c>
      <c r="O38" s="245">
        <f>'3товар'!O17*1000</f>
        <v>2805000</v>
      </c>
      <c r="P38" s="245">
        <f>'3товар'!P17*1000</f>
        <v>2805000</v>
      </c>
      <c r="Q38" s="245">
        <f>'3товар'!Q17*1000</f>
        <v>2805000</v>
      </c>
      <c r="R38" s="245">
        <f>'3товар'!R17*1000</f>
        <v>2805000</v>
      </c>
      <c r="S38" s="245">
        <f>'3товар'!S17*1000</f>
        <v>2805000</v>
      </c>
      <c r="T38" s="245">
        <f>'3товар'!T17*1000</f>
        <v>2805000</v>
      </c>
      <c r="U38" s="245">
        <f>'3товар'!U17*1000</f>
        <v>2805000</v>
      </c>
      <c r="V38" s="245">
        <f>'3товар'!V17*1000</f>
        <v>2805000</v>
      </c>
      <c r="W38" s="189">
        <f t="shared" si="12"/>
        <v>58905000</v>
      </c>
      <c r="X38" s="189">
        <f>NPV('1сел'!$X$1,B38:V38)</f>
        <v>47716441.697642058</v>
      </c>
    </row>
    <row r="39" spans="1:25" s="145" customFormat="1" x14ac:dyDescent="0.25">
      <c r="A39" s="267" t="s">
        <v>266</v>
      </c>
      <c r="B39" s="271">
        <f>'2сем'!B30*$J$1</f>
        <v>0</v>
      </c>
      <c r="C39" s="271">
        <f>'2сем'!C30*$J$1</f>
        <v>0</v>
      </c>
      <c r="D39" s="271">
        <f>'2сем'!D30*$J$1</f>
        <v>0</v>
      </c>
      <c r="E39" s="271">
        <f>'2сем'!E30*$J$1</f>
        <v>0</v>
      </c>
      <c r="F39" s="271">
        <f>'2сем'!F30*$J$1</f>
        <v>0</v>
      </c>
      <c r="G39" s="271">
        <f>'2сем'!G30*$J$1</f>
        <v>0</v>
      </c>
      <c r="H39" s="271">
        <f>'2сем'!H30*$J$1</f>
        <v>0</v>
      </c>
      <c r="I39" s="271">
        <f>'2сем'!I30*$J$1</f>
        <v>0</v>
      </c>
      <c r="J39" s="271">
        <f>'2сем'!J30*$J$1</f>
        <v>4080</v>
      </c>
      <c r="K39" s="271">
        <f>'2сем'!K30*$J$1</f>
        <v>0</v>
      </c>
      <c r="L39" s="271">
        <f>'2сем'!L30*$J$1</f>
        <v>0</v>
      </c>
      <c r="M39" s="271">
        <f>'2сем'!M30*$J$1</f>
        <v>4080</v>
      </c>
      <c r="N39" s="271">
        <f>'2сем'!N30*$J$1</f>
        <v>0</v>
      </c>
      <c r="O39" s="271">
        <f>'2сем'!O30*$J$1</f>
        <v>0</v>
      </c>
      <c r="P39" s="271">
        <f>'2сем'!P30*$J$1</f>
        <v>4080</v>
      </c>
      <c r="Q39" s="271">
        <f>'2сем'!Q30*$J$1</f>
        <v>0</v>
      </c>
      <c r="R39" s="271">
        <f>'2сем'!R30*$J$1</f>
        <v>0</v>
      </c>
      <c r="S39" s="271">
        <f>'2сем'!S30*$J$1</f>
        <v>4080</v>
      </c>
      <c r="T39" s="271">
        <f>'2сем'!T30*$J$1</f>
        <v>0</v>
      </c>
      <c r="U39" s="271">
        <f>'2сем'!U30*$J$1</f>
        <v>0</v>
      </c>
      <c r="V39" s="271">
        <f>'2сем'!V30*$J$1</f>
        <v>0</v>
      </c>
      <c r="W39" s="270">
        <f t="shared" si="12"/>
        <v>16320</v>
      </c>
      <c r="X39" s="270">
        <f>NPV('1сел'!$X$1,B39:V39)</f>
        <v>12519.163989346502</v>
      </c>
    </row>
    <row r="40" spans="1:25" x14ac:dyDescent="0.25">
      <c r="A40" s="194" t="s">
        <v>263</v>
      </c>
      <c r="B40" s="194">
        <f>SUM(B37:B39)</f>
        <v>2805000</v>
      </c>
      <c r="C40" s="194">
        <f t="shared" ref="C40:V40" si="14">SUM(C37:C39)</f>
        <v>2805000</v>
      </c>
      <c r="D40" s="194">
        <f t="shared" si="14"/>
        <v>2805000</v>
      </c>
      <c r="E40" s="194">
        <f t="shared" si="14"/>
        <v>2805000</v>
      </c>
      <c r="F40" s="194">
        <f t="shared" si="14"/>
        <v>2805000</v>
      </c>
      <c r="G40" s="194">
        <f t="shared" si="14"/>
        <v>2805000</v>
      </c>
      <c r="H40" s="194">
        <f t="shared" si="14"/>
        <v>2805000</v>
      </c>
      <c r="I40" s="194">
        <f t="shared" si="14"/>
        <v>2805000</v>
      </c>
      <c r="J40" s="194">
        <f t="shared" si="14"/>
        <v>2809080</v>
      </c>
      <c r="K40" s="194">
        <f t="shared" si="14"/>
        <v>2813500</v>
      </c>
      <c r="L40" s="194">
        <f t="shared" si="14"/>
        <v>2813500</v>
      </c>
      <c r="M40" s="194">
        <f t="shared" si="14"/>
        <v>2817580</v>
      </c>
      <c r="N40" s="194">
        <f t="shared" si="14"/>
        <v>2813500</v>
      </c>
      <c r="O40" s="194">
        <f t="shared" si="14"/>
        <v>2813500</v>
      </c>
      <c r="P40" s="194">
        <f t="shared" si="14"/>
        <v>2817580</v>
      </c>
      <c r="Q40" s="194">
        <f t="shared" si="14"/>
        <v>2813500</v>
      </c>
      <c r="R40" s="194">
        <f t="shared" si="14"/>
        <v>2813500</v>
      </c>
      <c r="S40" s="194">
        <f t="shared" si="14"/>
        <v>2817580</v>
      </c>
      <c r="T40" s="194">
        <f t="shared" si="14"/>
        <v>2813500</v>
      </c>
      <c r="U40" s="194">
        <f t="shared" si="14"/>
        <v>2813500</v>
      </c>
      <c r="V40" s="194">
        <f t="shared" si="14"/>
        <v>2813500</v>
      </c>
      <c r="W40" s="189">
        <f t="shared" si="12"/>
        <v>59023320</v>
      </c>
      <c r="X40" s="189">
        <f>NPV('1сел'!$X$1,B40:V40)</f>
        <v>47804177.127498932</v>
      </c>
    </row>
    <row r="41" spans="1:25" x14ac:dyDescent="0.25">
      <c r="A41" s="48" t="s">
        <v>268</v>
      </c>
      <c r="B41" s="37">
        <f>B37-B32</f>
        <v>-12000</v>
      </c>
      <c r="C41" s="37">
        <f t="shared" ref="C41:V43" si="15">C37-C32</f>
        <v>-3072</v>
      </c>
      <c r="D41" s="37">
        <f t="shared" si="15"/>
        <v>-4397</v>
      </c>
      <c r="E41" s="37">
        <f t="shared" si="15"/>
        <v>-4397</v>
      </c>
      <c r="F41" s="37">
        <f t="shared" si="15"/>
        <v>-56</v>
      </c>
      <c r="G41" s="37">
        <f t="shared" si="15"/>
        <v>-6.3</v>
      </c>
      <c r="H41" s="37">
        <f t="shared" si="15"/>
        <v>0</v>
      </c>
      <c r="I41" s="37">
        <f t="shared" si="15"/>
        <v>0</v>
      </c>
      <c r="J41" s="37">
        <f t="shared" si="15"/>
        <v>-2040</v>
      </c>
      <c r="K41" s="37">
        <f t="shared" si="15"/>
        <v>8500</v>
      </c>
      <c r="L41" s="37">
        <f t="shared" si="15"/>
        <v>8500</v>
      </c>
      <c r="M41" s="37">
        <f t="shared" si="15"/>
        <v>6460</v>
      </c>
      <c r="N41" s="37">
        <f t="shared" si="15"/>
        <v>8500</v>
      </c>
      <c r="O41" s="37">
        <f t="shared" si="15"/>
        <v>8500</v>
      </c>
      <c r="P41" s="37">
        <f t="shared" si="15"/>
        <v>6460</v>
      </c>
      <c r="Q41" s="37">
        <f t="shared" si="15"/>
        <v>8500</v>
      </c>
      <c r="R41" s="37">
        <f t="shared" si="15"/>
        <v>8500</v>
      </c>
      <c r="S41" s="37">
        <f t="shared" si="15"/>
        <v>6460</v>
      </c>
      <c r="T41" s="37">
        <f t="shared" si="15"/>
        <v>8500</v>
      </c>
      <c r="U41" s="37">
        <f t="shared" si="15"/>
        <v>8500</v>
      </c>
      <c r="V41" s="37">
        <f t="shared" si="15"/>
        <v>8500</v>
      </c>
      <c r="W41" s="189">
        <f t="shared" si="12"/>
        <v>69911.7</v>
      </c>
      <c r="X41" s="189">
        <f>NPV('1сел'!$X$1,B41:V41)</f>
        <v>45977.41270623295</v>
      </c>
    </row>
    <row r="42" spans="1:25" x14ac:dyDescent="0.25">
      <c r="A42" s="245" t="s">
        <v>269</v>
      </c>
      <c r="B42" s="245">
        <f>B38-B33</f>
        <v>1870000</v>
      </c>
      <c r="C42" s="245">
        <f t="shared" si="15"/>
        <v>1870000</v>
      </c>
      <c r="D42" s="245">
        <f t="shared" si="15"/>
        <v>1870000</v>
      </c>
      <c r="E42" s="245">
        <f t="shared" si="15"/>
        <v>1870000</v>
      </c>
      <c r="F42" s="245">
        <f t="shared" si="15"/>
        <v>1870000</v>
      </c>
      <c r="G42" s="245">
        <f t="shared" si="15"/>
        <v>1870000</v>
      </c>
      <c r="H42" s="245">
        <f t="shared" si="15"/>
        <v>1870000</v>
      </c>
      <c r="I42" s="245">
        <f t="shared" si="15"/>
        <v>1870000</v>
      </c>
      <c r="J42" s="245">
        <f t="shared" si="15"/>
        <v>1870000</v>
      </c>
      <c r="K42" s="245">
        <f t="shared" si="15"/>
        <v>1921000</v>
      </c>
      <c r="L42" s="245">
        <f t="shared" si="15"/>
        <v>1921000</v>
      </c>
      <c r="M42" s="245">
        <f t="shared" si="15"/>
        <v>1921000</v>
      </c>
      <c r="N42" s="245">
        <f t="shared" si="15"/>
        <v>1921000</v>
      </c>
      <c r="O42" s="245">
        <f t="shared" si="15"/>
        <v>1921000</v>
      </c>
      <c r="P42" s="245">
        <f t="shared" si="15"/>
        <v>1921000</v>
      </c>
      <c r="Q42" s="245">
        <f t="shared" si="15"/>
        <v>1921000</v>
      </c>
      <c r="R42" s="245">
        <f t="shared" si="15"/>
        <v>1921000</v>
      </c>
      <c r="S42" s="245">
        <f t="shared" si="15"/>
        <v>1921000</v>
      </c>
      <c r="T42" s="245">
        <f t="shared" si="15"/>
        <v>1921000</v>
      </c>
      <c r="U42" s="245">
        <f t="shared" si="15"/>
        <v>1921000</v>
      </c>
      <c r="V42" s="245">
        <f t="shared" si="15"/>
        <v>1921000</v>
      </c>
      <c r="W42" s="189">
        <f t="shared" si="12"/>
        <v>39882000</v>
      </c>
      <c r="X42" s="189">
        <f>NPV('1сел'!$X$1,B42:V42)</f>
        <v>32262258.726966508</v>
      </c>
    </row>
    <row r="43" spans="1:25" s="147" customFormat="1" x14ac:dyDescent="0.25">
      <c r="A43" s="272" t="s">
        <v>270</v>
      </c>
      <c r="B43" s="273">
        <f>B39-B34</f>
        <v>0</v>
      </c>
      <c r="C43" s="273">
        <f t="shared" si="15"/>
        <v>0</v>
      </c>
      <c r="D43" s="273">
        <f t="shared" si="15"/>
        <v>0</v>
      </c>
      <c r="E43" s="273">
        <f t="shared" si="15"/>
        <v>0</v>
      </c>
      <c r="F43" s="273">
        <f t="shared" si="15"/>
        <v>0</v>
      </c>
      <c r="G43" s="273">
        <f t="shared" si="15"/>
        <v>0</v>
      </c>
      <c r="H43" s="273">
        <f t="shared" si="15"/>
        <v>0</v>
      </c>
      <c r="I43" s="273">
        <f t="shared" si="15"/>
        <v>-800.00000000000011</v>
      </c>
      <c r="J43" s="273">
        <f t="shared" si="15"/>
        <v>3280</v>
      </c>
      <c r="K43" s="273">
        <f t="shared" si="15"/>
        <v>0</v>
      </c>
      <c r="L43" s="273">
        <f t="shared" si="15"/>
        <v>-800.00000000000011</v>
      </c>
      <c r="M43" s="273">
        <f t="shared" si="15"/>
        <v>3280</v>
      </c>
      <c r="N43" s="273">
        <f t="shared" si="15"/>
        <v>0</v>
      </c>
      <c r="O43" s="273">
        <f t="shared" si="15"/>
        <v>-800.00000000000011</v>
      </c>
      <c r="P43" s="273">
        <f t="shared" si="15"/>
        <v>3280</v>
      </c>
      <c r="Q43" s="273">
        <f t="shared" si="15"/>
        <v>0</v>
      </c>
      <c r="R43" s="273">
        <f t="shared" si="15"/>
        <v>-800.00000000000011</v>
      </c>
      <c r="S43" s="273">
        <f t="shared" si="15"/>
        <v>3280</v>
      </c>
      <c r="T43" s="273">
        <f t="shared" si="15"/>
        <v>0</v>
      </c>
      <c r="U43" s="273">
        <f t="shared" si="15"/>
        <v>0</v>
      </c>
      <c r="V43" s="273">
        <f t="shared" si="15"/>
        <v>0</v>
      </c>
      <c r="W43" s="270">
        <f t="shared" si="12"/>
        <v>9920</v>
      </c>
      <c r="X43" s="270">
        <f>NPV('1сел'!$X$1,B43:V43)</f>
        <v>7560.5931543504366</v>
      </c>
      <c r="Y43" s="145"/>
    </row>
    <row r="44" spans="1:25" x14ac:dyDescent="0.25">
      <c r="A44" s="48" t="s">
        <v>271</v>
      </c>
      <c r="B44" s="37">
        <f>SUM(B41:B43)</f>
        <v>1858000</v>
      </c>
      <c r="C44" s="37">
        <f t="shared" ref="C44:V44" si="16">SUM(C41:C43)</f>
        <v>1866928</v>
      </c>
      <c r="D44" s="37">
        <f t="shared" si="16"/>
        <v>1865603</v>
      </c>
      <c r="E44" s="37">
        <f t="shared" si="16"/>
        <v>1865603</v>
      </c>
      <c r="F44" s="37">
        <f t="shared" si="16"/>
        <v>1869944</v>
      </c>
      <c r="G44" s="37">
        <f t="shared" si="16"/>
        <v>1869993.7</v>
      </c>
      <c r="H44" s="37">
        <f t="shared" si="16"/>
        <v>1870000</v>
      </c>
      <c r="I44" s="37">
        <f t="shared" si="16"/>
        <v>1869200</v>
      </c>
      <c r="J44" s="37">
        <f>SUM(J41:J43)</f>
        <v>1871240</v>
      </c>
      <c r="K44" s="37">
        <f t="shared" si="16"/>
        <v>1929500</v>
      </c>
      <c r="L44" s="37">
        <f t="shared" si="16"/>
        <v>1928700</v>
      </c>
      <c r="M44" s="37">
        <f t="shared" si="16"/>
        <v>1930740</v>
      </c>
      <c r="N44" s="37">
        <f t="shared" si="16"/>
        <v>1929500</v>
      </c>
      <c r="O44" s="37">
        <f t="shared" si="16"/>
        <v>1928700</v>
      </c>
      <c r="P44" s="37">
        <f t="shared" si="16"/>
        <v>1930740</v>
      </c>
      <c r="Q44" s="37">
        <f t="shared" si="16"/>
        <v>1929500</v>
      </c>
      <c r="R44" s="37">
        <f t="shared" si="16"/>
        <v>1928700</v>
      </c>
      <c r="S44" s="37">
        <f t="shared" si="16"/>
        <v>1930740</v>
      </c>
      <c r="T44" s="37">
        <f t="shared" si="16"/>
        <v>1929500</v>
      </c>
      <c r="U44" s="37">
        <f t="shared" si="16"/>
        <v>1929500</v>
      </c>
      <c r="V44" s="37">
        <f t="shared" si="16"/>
        <v>1929500</v>
      </c>
      <c r="W44" s="189">
        <f t="shared" si="12"/>
        <v>39961831.700000003</v>
      </c>
      <c r="X44" s="189">
        <f>NPV('1сел'!$X$1,B44:V44)</f>
        <v>32315796.732827093</v>
      </c>
    </row>
    <row r="45" spans="1:25" x14ac:dyDescent="0.25">
      <c r="A45" s="195" t="s">
        <v>318</v>
      </c>
      <c r="B45" s="196">
        <f t="shared" ref="B45:V45" si="17">B51-B44</f>
        <v>0</v>
      </c>
      <c r="C45" s="196">
        <f t="shared" si="17"/>
        <v>0</v>
      </c>
      <c r="D45" s="196">
        <f t="shared" si="17"/>
        <v>0</v>
      </c>
      <c r="E45" s="196">
        <f t="shared" si="17"/>
        <v>0</v>
      </c>
      <c r="F45" s="196">
        <f t="shared" si="17"/>
        <v>0</v>
      </c>
      <c r="G45" s="196">
        <f t="shared" si="17"/>
        <v>0</v>
      </c>
      <c r="H45" s="196">
        <f t="shared" si="17"/>
        <v>0</v>
      </c>
      <c r="I45" s="196">
        <f t="shared" si="17"/>
        <v>0</v>
      </c>
      <c r="J45" s="263">
        <f t="shared" si="17"/>
        <v>0</v>
      </c>
      <c r="K45" s="196">
        <f t="shared" si="17"/>
        <v>0</v>
      </c>
      <c r="L45" s="196">
        <f t="shared" si="17"/>
        <v>0</v>
      </c>
      <c r="M45" s="196">
        <f t="shared" si="17"/>
        <v>0</v>
      </c>
      <c r="N45" s="196">
        <f t="shared" si="17"/>
        <v>0</v>
      </c>
      <c r="O45" s="196">
        <f t="shared" si="17"/>
        <v>0</v>
      </c>
      <c r="P45" s="196">
        <f t="shared" si="17"/>
        <v>0</v>
      </c>
      <c r="Q45" s="196">
        <f t="shared" si="17"/>
        <v>0</v>
      </c>
      <c r="R45" s="196">
        <f t="shared" si="17"/>
        <v>0</v>
      </c>
      <c r="S45" s="196">
        <f t="shared" si="17"/>
        <v>0</v>
      </c>
      <c r="T45" s="196">
        <f t="shared" si="17"/>
        <v>0</v>
      </c>
      <c r="U45" s="196">
        <f t="shared" si="17"/>
        <v>0</v>
      </c>
      <c r="V45" s="196">
        <f t="shared" si="17"/>
        <v>0</v>
      </c>
      <c r="W45" s="189">
        <f t="shared" si="12"/>
        <v>0</v>
      </c>
      <c r="X45" s="189">
        <f>NPV('1сел'!$X$1,B45:V45)</f>
        <v>0</v>
      </c>
    </row>
    <row r="46" spans="1:25" x14ac:dyDescent="0.25">
      <c r="A46" s="48" t="s">
        <v>272</v>
      </c>
      <c r="B46" s="48">
        <f>B40-B35</f>
        <v>1858000</v>
      </c>
      <c r="C46" s="48">
        <f t="shared" ref="C46:V46" si="18">C40-C35</f>
        <v>1866928</v>
      </c>
      <c r="D46" s="48">
        <f t="shared" si="18"/>
        <v>1865603</v>
      </c>
      <c r="E46" s="48">
        <f t="shared" si="18"/>
        <v>1865603</v>
      </c>
      <c r="F46" s="48">
        <f t="shared" si="18"/>
        <v>1869944</v>
      </c>
      <c r="G46" s="48">
        <f t="shared" si="18"/>
        <v>1869993.7</v>
      </c>
      <c r="H46" s="48">
        <f t="shared" si="18"/>
        <v>1870000</v>
      </c>
      <c r="I46" s="48">
        <f t="shared" si="18"/>
        <v>1869200</v>
      </c>
      <c r="J46" s="48">
        <f t="shared" si="18"/>
        <v>1871240</v>
      </c>
      <c r="K46" s="48">
        <f t="shared" si="18"/>
        <v>1929500</v>
      </c>
      <c r="L46" s="48">
        <f t="shared" si="18"/>
        <v>1928700</v>
      </c>
      <c r="M46" s="48">
        <f t="shared" si="18"/>
        <v>1930740</v>
      </c>
      <c r="N46" s="48">
        <f t="shared" si="18"/>
        <v>1929500</v>
      </c>
      <c r="O46" s="48">
        <f t="shared" si="18"/>
        <v>1928700</v>
      </c>
      <c r="P46" s="48">
        <f t="shared" si="18"/>
        <v>1930740</v>
      </c>
      <c r="Q46" s="48">
        <f t="shared" si="18"/>
        <v>1929500</v>
      </c>
      <c r="R46" s="48">
        <f t="shared" si="18"/>
        <v>1928700</v>
      </c>
      <c r="S46" s="48">
        <f t="shared" si="18"/>
        <v>1930740</v>
      </c>
      <c r="T46" s="48">
        <f t="shared" si="18"/>
        <v>1929500</v>
      </c>
      <c r="U46" s="48">
        <f t="shared" si="18"/>
        <v>1929500</v>
      </c>
      <c r="V46" s="48">
        <f t="shared" si="18"/>
        <v>1929500</v>
      </c>
      <c r="W46" s="189">
        <f t="shared" si="12"/>
        <v>39961831.700000003</v>
      </c>
      <c r="X46" s="189">
        <f>NPV('1сел'!$X$1,B46:V46)</f>
        <v>32315796.732827093</v>
      </c>
    </row>
    <row r="47" spans="1:25" x14ac:dyDescent="0.25">
      <c r="A47" s="274" t="s">
        <v>328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9"/>
      <c r="X47" s="199"/>
    </row>
    <row r="48" spans="1:25" x14ac:dyDescent="0.25">
      <c r="A48" s="39" t="s">
        <v>85</v>
      </c>
      <c r="B48" s="58">
        <f>B37-B32</f>
        <v>-12000</v>
      </c>
      <c r="C48" s="58">
        <f t="shared" ref="C48:V50" si="19">C37-C32</f>
        <v>-3072</v>
      </c>
      <c r="D48" s="58">
        <f t="shared" si="19"/>
        <v>-4397</v>
      </c>
      <c r="E48" s="58">
        <f t="shared" si="19"/>
        <v>-4397</v>
      </c>
      <c r="F48" s="58">
        <f t="shared" si="19"/>
        <v>-56</v>
      </c>
      <c r="G48" s="58">
        <f t="shared" si="19"/>
        <v>-6.3</v>
      </c>
      <c r="H48" s="58">
        <f t="shared" si="19"/>
        <v>0</v>
      </c>
      <c r="I48" s="58">
        <f t="shared" si="19"/>
        <v>0</v>
      </c>
      <c r="J48" s="58">
        <f t="shared" si="19"/>
        <v>-2040</v>
      </c>
      <c r="K48" s="58">
        <f t="shared" si="19"/>
        <v>8500</v>
      </c>
      <c r="L48" s="58">
        <f t="shared" si="19"/>
        <v>8500</v>
      </c>
      <c r="M48" s="58">
        <f t="shared" si="19"/>
        <v>6460</v>
      </c>
      <c r="N48" s="58">
        <f t="shared" si="19"/>
        <v>8500</v>
      </c>
      <c r="O48" s="58">
        <f t="shared" si="19"/>
        <v>8500</v>
      </c>
      <c r="P48" s="58">
        <f t="shared" si="19"/>
        <v>6460</v>
      </c>
      <c r="Q48" s="58">
        <f t="shared" si="19"/>
        <v>8500</v>
      </c>
      <c r="R48" s="58">
        <f t="shared" si="19"/>
        <v>8500</v>
      </c>
      <c r="S48" s="58">
        <f t="shared" si="19"/>
        <v>6460</v>
      </c>
      <c r="T48" s="58">
        <f t="shared" si="19"/>
        <v>8500</v>
      </c>
      <c r="U48" s="58">
        <f t="shared" si="19"/>
        <v>8500</v>
      </c>
      <c r="V48" s="58">
        <f t="shared" si="19"/>
        <v>8500</v>
      </c>
      <c r="W48" s="199">
        <f>SUM(B48:V48)</f>
        <v>69911.7</v>
      </c>
      <c r="X48" s="199">
        <f>NPV('1сел'!$X$1,B48:V48)</f>
        <v>45977.41270623295</v>
      </c>
    </row>
    <row r="49" spans="1:25" x14ac:dyDescent="0.25">
      <c r="A49" s="38" t="s">
        <v>86</v>
      </c>
      <c r="B49" s="58">
        <f>B38-B33</f>
        <v>1870000</v>
      </c>
      <c r="C49" s="58">
        <f t="shared" si="19"/>
        <v>1870000</v>
      </c>
      <c r="D49" s="58">
        <f t="shared" si="19"/>
        <v>1870000</v>
      </c>
      <c r="E49" s="58">
        <f t="shared" si="19"/>
        <v>1870000</v>
      </c>
      <c r="F49" s="58">
        <f t="shared" si="19"/>
        <v>1870000</v>
      </c>
      <c r="G49" s="58">
        <f t="shared" si="19"/>
        <v>1870000</v>
      </c>
      <c r="H49" s="58">
        <f t="shared" si="19"/>
        <v>1870000</v>
      </c>
      <c r="I49" s="58">
        <f t="shared" si="19"/>
        <v>1870000</v>
      </c>
      <c r="J49" s="58">
        <f t="shared" si="19"/>
        <v>1870000</v>
      </c>
      <c r="K49" s="58">
        <f t="shared" si="19"/>
        <v>1921000</v>
      </c>
      <c r="L49" s="58">
        <f t="shared" si="19"/>
        <v>1921000</v>
      </c>
      <c r="M49" s="58">
        <f t="shared" si="19"/>
        <v>1921000</v>
      </c>
      <c r="N49" s="58">
        <f t="shared" si="19"/>
        <v>1921000</v>
      </c>
      <c r="O49" s="58">
        <f t="shared" si="19"/>
        <v>1921000</v>
      </c>
      <c r="P49" s="58">
        <f t="shared" si="19"/>
        <v>1921000</v>
      </c>
      <c r="Q49" s="58">
        <f t="shared" si="19"/>
        <v>1921000</v>
      </c>
      <c r="R49" s="58">
        <f t="shared" si="19"/>
        <v>1921000</v>
      </c>
      <c r="S49" s="58">
        <f t="shared" si="19"/>
        <v>1921000</v>
      </c>
      <c r="T49" s="58">
        <f t="shared" si="19"/>
        <v>1921000</v>
      </c>
      <c r="U49" s="58">
        <f t="shared" si="19"/>
        <v>1921000</v>
      </c>
      <c r="V49" s="58">
        <f t="shared" si="19"/>
        <v>1921000</v>
      </c>
      <c r="W49" s="199">
        <f>SUM(B49:V49)</f>
        <v>39882000</v>
      </c>
      <c r="X49" s="199">
        <f>NPV('1сел'!$X$1,B49:V49)</f>
        <v>32262258.726966508</v>
      </c>
    </row>
    <row r="50" spans="1:25" x14ac:dyDescent="0.25">
      <c r="A50" s="38" t="s">
        <v>87</v>
      </c>
      <c r="B50" s="58">
        <f>B39-B34</f>
        <v>0</v>
      </c>
      <c r="C50" s="58">
        <f t="shared" si="19"/>
        <v>0</v>
      </c>
      <c r="D50" s="58">
        <f t="shared" si="19"/>
        <v>0</v>
      </c>
      <c r="E50" s="58">
        <f t="shared" si="19"/>
        <v>0</v>
      </c>
      <c r="F50" s="58">
        <f t="shared" si="19"/>
        <v>0</v>
      </c>
      <c r="G50" s="58">
        <f t="shared" si="19"/>
        <v>0</v>
      </c>
      <c r="H50" s="58">
        <f t="shared" si="19"/>
        <v>0</v>
      </c>
      <c r="I50" s="58">
        <f t="shared" si="19"/>
        <v>-800.00000000000011</v>
      </c>
      <c r="J50" s="58">
        <f t="shared" si="19"/>
        <v>3280</v>
      </c>
      <c r="K50" s="58">
        <f t="shared" si="19"/>
        <v>0</v>
      </c>
      <c r="L50" s="58">
        <f t="shared" si="19"/>
        <v>-800.00000000000011</v>
      </c>
      <c r="M50" s="58">
        <f t="shared" si="19"/>
        <v>3280</v>
      </c>
      <c r="N50" s="58">
        <f t="shared" si="19"/>
        <v>0</v>
      </c>
      <c r="O50" s="58">
        <f t="shared" si="19"/>
        <v>-800.00000000000011</v>
      </c>
      <c r="P50" s="58">
        <f t="shared" si="19"/>
        <v>3280</v>
      </c>
      <c r="Q50" s="58">
        <f t="shared" si="19"/>
        <v>0</v>
      </c>
      <c r="R50" s="58">
        <f t="shared" si="19"/>
        <v>-800.00000000000011</v>
      </c>
      <c r="S50" s="58">
        <f t="shared" si="19"/>
        <v>3280</v>
      </c>
      <c r="T50" s="58">
        <f t="shared" si="19"/>
        <v>0</v>
      </c>
      <c r="U50" s="58">
        <f t="shared" si="19"/>
        <v>0</v>
      </c>
      <c r="V50" s="58">
        <f t="shared" si="19"/>
        <v>0</v>
      </c>
      <c r="W50" s="199">
        <f>SUM(B50:V50)</f>
        <v>9920</v>
      </c>
      <c r="X50" s="199">
        <f>NPV('1сел'!$X$1,B50:V50)</f>
        <v>7560.5931543504366</v>
      </c>
    </row>
    <row r="51" spans="1:25" x14ac:dyDescent="0.25">
      <c r="A51" s="95" t="s">
        <v>88</v>
      </c>
      <c r="B51" s="275">
        <f t="shared" ref="B51:V51" si="20">SUM(B48:B50)</f>
        <v>1858000</v>
      </c>
      <c r="C51" s="275">
        <f t="shared" si="20"/>
        <v>1866928</v>
      </c>
      <c r="D51" s="275">
        <f t="shared" si="20"/>
        <v>1865603</v>
      </c>
      <c r="E51" s="275">
        <f t="shared" si="20"/>
        <v>1865603</v>
      </c>
      <c r="F51" s="275">
        <f t="shared" si="20"/>
        <v>1869944</v>
      </c>
      <c r="G51" s="275">
        <f t="shared" si="20"/>
        <v>1869993.7</v>
      </c>
      <c r="H51" s="275">
        <f t="shared" si="20"/>
        <v>1870000</v>
      </c>
      <c r="I51" s="275">
        <f t="shared" si="20"/>
        <v>1869200</v>
      </c>
      <c r="J51" s="275">
        <f>SUM(J48:J50)</f>
        <v>1871240</v>
      </c>
      <c r="K51" s="275">
        <f t="shared" si="20"/>
        <v>1929500</v>
      </c>
      <c r="L51" s="275">
        <f t="shared" si="20"/>
        <v>1928700</v>
      </c>
      <c r="M51" s="275">
        <f t="shared" si="20"/>
        <v>1930740</v>
      </c>
      <c r="N51" s="275">
        <f t="shared" si="20"/>
        <v>1929500</v>
      </c>
      <c r="O51" s="275">
        <f t="shared" si="20"/>
        <v>1928700</v>
      </c>
      <c r="P51" s="275">
        <f t="shared" si="20"/>
        <v>1930740</v>
      </c>
      <c r="Q51" s="275">
        <f t="shared" si="20"/>
        <v>1929500</v>
      </c>
      <c r="R51" s="275">
        <f t="shared" si="20"/>
        <v>1928700</v>
      </c>
      <c r="S51" s="275">
        <f t="shared" si="20"/>
        <v>1930740</v>
      </c>
      <c r="T51" s="275">
        <f t="shared" si="20"/>
        <v>1929500</v>
      </c>
      <c r="U51" s="275">
        <f t="shared" si="20"/>
        <v>1929500</v>
      </c>
      <c r="V51" s="275">
        <f t="shared" si="20"/>
        <v>1929500</v>
      </c>
      <c r="W51" s="199">
        <f>SUM(B51:V51)</f>
        <v>39961831.700000003</v>
      </c>
      <c r="X51" s="199">
        <f>NPV('1сел'!$X$1,B51:V51)</f>
        <v>32315796.732827093</v>
      </c>
    </row>
    <row r="52" spans="1:25" x14ac:dyDescent="0.25">
      <c r="A52" s="67" t="s">
        <v>366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199"/>
      <c r="X52" s="199"/>
    </row>
    <row r="53" spans="1:25" x14ac:dyDescent="0.25">
      <c r="A53" s="95" t="s">
        <v>329</v>
      </c>
      <c r="B53" s="275">
        <f>B48</f>
        <v>-12000</v>
      </c>
      <c r="C53" s="275">
        <f>B53+C48</f>
        <v>-15072</v>
      </c>
      <c r="D53" s="275">
        <f t="shared" ref="D53:V55" si="21">C53+D48</f>
        <v>-19469</v>
      </c>
      <c r="E53" s="275">
        <f t="shared" si="21"/>
        <v>-23866</v>
      </c>
      <c r="F53" s="275">
        <f t="shared" si="21"/>
        <v>-23922</v>
      </c>
      <c r="G53" s="275">
        <f t="shared" si="21"/>
        <v>-23928.3</v>
      </c>
      <c r="H53" s="275">
        <f t="shared" si="21"/>
        <v>-23928.3</v>
      </c>
      <c r="I53" s="275">
        <f t="shared" si="21"/>
        <v>-23928.3</v>
      </c>
      <c r="J53" s="275">
        <f t="shared" si="21"/>
        <v>-25968.3</v>
      </c>
      <c r="K53" s="275">
        <f t="shared" si="21"/>
        <v>-17468.3</v>
      </c>
      <c r="L53" s="275">
        <f t="shared" si="21"/>
        <v>-8968.2999999999993</v>
      </c>
      <c r="M53" s="275">
        <f t="shared" si="21"/>
        <v>-2508.2999999999993</v>
      </c>
      <c r="N53" s="275">
        <f t="shared" si="21"/>
        <v>5991.7000000000007</v>
      </c>
      <c r="O53" s="275">
        <f t="shared" si="21"/>
        <v>14491.7</v>
      </c>
      <c r="P53" s="275">
        <f t="shared" si="21"/>
        <v>20951.7</v>
      </c>
      <c r="Q53" s="275">
        <f t="shared" si="21"/>
        <v>29451.7</v>
      </c>
      <c r="R53" s="275">
        <f t="shared" si="21"/>
        <v>37951.699999999997</v>
      </c>
      <c r="S53" s="275">
        <f t="shared" si="21"/>
        <v>44411.7</v>
      </c>
      <c r="T53" s="275">
        <f t="shared" si="21"/>
        <v>52911.7</v>
      </c>
      <c r="U53" s="275">
        <f t="shared" si="21"/>
        <v>61411.7</v>
      </c>
      <c r="V53" s="275">
        <f t="shared" si="21"/>
        <v>69911.7</v>
      </c>
      <c r="W53" s="276" t="s">
        <v>334</v>
      </c>
      <c r="X53" s="276">
        <f>MIN(B53:V53)</f>
        <v>-25968.3</v>
      </c>
    </row>
    <row r="54" spans="1:25" x14ac:dyDescent="0.25">
      <c r="A54" s="95" t="s">
        <v>330</v>
      </c>
      <c r="B54" s="275">
        <f>B49</f>
        <v>1870000</v>
      </c>
      <c r="C54" s="275">
        <f>B54+C49</f>
        <v>3740000</v>
      </c>
      <c r="D54" s="275">
        <f t="shared" si="21"/>
        <v>5610000</v>
      </c>
      <c r="E54" s="275">
        <f t="shared" si="21"/>
        <v>7480000</v>
      </c>
      <c r="F54" s="275">
        <f t="shared" si="21"/>
        <v>9350000</v>
      </c>
      <c r="G54" s="275">
        <f t="shared" si="21"/>
        <v>11220000</v>
      </c>
      <c r="H54" s="275">
        <f t="shared" si="21"/>
        <v>13090000</v>
      </c>
      <c r="I54" s="275">
        <f t="shared" si="21"/>
        <v>14960000</v>
      </c>
      <c r="J54" s="275">
        <f t="shared" si="21"/>
        <v>16830000</v>
      </c>
      <c r="K54" s="275">
        <f t="shared" si="21"/>
        <v>18751000</v>
      </c>
      <c r="L54" s="275">
        <f t="shared" si="21"/>
        <v>20672000</v>
      </c>
      <c r="M54" s="275">
        <f t="shared" si="21"/>
        <v>22593000</v>
      </c>
      <c r="N54" s="275">
        <f t="shared" si="21"/>
        <v>24514000</v>
      </c>
      <c r="O54" s="275">
        <f t="shared" si="21"/>
        <v>26435000</v>
      </c>
      <c r="P54" s="275">
        <f t="shared" si="21"/>
        <v>28356000</v>
      </c>
      <c r="Q54" s="275">
        <f t="shared" si="21"/>
        <v>30277000</v>
      </c>
      <c r="R54" s="275">
        <f t="shared" si="21"/>
        <v>32198000</v>
      </c>
      <c r="S54" s="275">
        <f t="shared" si="21"/>
        <v>34119000</v>
      </c>
      <c r="T54" s="275">
        <f t="shared" si="21"/>
        <v>36040000</v>
      </c>
      <c r="U54" s="275">
        <f t="shared" si="21"/>
        <v>37961000</v>
      </c>
      <c r="V54" s="275">
        <f t="shared" si="21"/>
        <v>39882000</v>
      </c>
      <c r="W54" s="276" t="s">
        <v>334</v>
      </c>
      <c r="X54" s="276">
        <f>MIN(B54:V54)</f>
        <v>1870000</v>
      </c>
    </row>
    <row r="55" spans="1:25" x14ac:dyDescent="0.25">
      <c r="A55" s="95" t="s">
        <v>331</v>
      </c>
      <c r="B55" s="275">
        <f>B50</f>
        <v>0</v>
      </c>
      <c r="C55" s="275">
        <f>B55+C50</f>
        <v>0</v>
      </c>
      <c r="D55" s="275">
        <f t="shared" si="21"/>
        <v>0</v>
      </c>
      <c r="E55" s="275">
        <f t="shared" si="21"/>
        <v>0</v>
      </c>
      <c r="F55" s="275">
        <f t="shared" si="21"/>
        <v>0</v>
      </c>
      <c r="G55" s="275">
        <f t="shared" si="21"/>
        <v>0</v>
      </c>
      <c r="H55" s="275">
        <f t="shared" si="21"/>
        <v>0</v>
      </c>
      <c r="I55" s="275">
        <f t="shared" si="21"/>
        <v>-800.00000000000011</v>
      </c>
      <c r="J55" s="275">
        <f t="shared" si="21"/>
        <v>2480</v>
      </c>
      <c r="K55" s="275">
        <f t="shared" si="21"/>
        <v>2480</v>
      </c>
      <c r="L55" s="275">
        <f t="shared" si="21"/>
        <v>1680</v>
      </c>
      <c r="M55" s="275">
        <f t="shared" si="21"/>
        <v>4960</v>
      </c>
      <c r="N55" s="275">
        <f t="shared" si="21"/>
        <v>4960</v>
      </c>
      <c r="O55" s="275">
        <f t="shared" si="21"/>
        <v>4160</v>
      </c>
      <c r="P55" s="275">
        <f t="shared" si="21"/>
        <v>7440</v>
      </c>
      <c r="Q55" s="275">
        <f t="shared" si="21"/>
        <v>7440</v>
      </c>
      <c r="R55" s="275">
        <f t="shared" si="21"/>
        <v>6640</v>
      </c>
      <c r="S55" s="275">
        <f t="shared" si="21"/>
        <v>9920</v>
      </c>
      <c r="T55" s="275">
        <f t="shared" si="21"/>
        <v>9920</v>
      </c>
      <c r="U55" s="275">
        <f t="shared" si="21"/>
        <v>9920</v>
      </c>
      <c r="V55" s="275">
        <f t="shared" si="21"/>
        <v>9920</v>
      </c>
      <c r="W55" s="276" t="s">
        <v>334</v>
      </c>
      <c r="X55" s="276">
        <f>MIN(B55:V55)</f>
        <v>-800.00000000000011</v>
      </c>
    </row>
    <row r="56" spans="1:25" x14ac:dyDescent="0.25">
      <c r="A56" s="95" t="s">
        <v>332</v>
      </c>
      <c r="B56" s="275">
        <f>SUM(B53:B55)</f>
        <v>1858000</v>
      </c>
      <c r="C56" s="275">
        <f>B56+SUM(C48:C50)</f>
        <v>3724928</v>
      </c>
      <c r="D56" s="275">
        <f t="shared" ref="D56:S56" si="22">C56+SUM(D48:D50)</f>
        <v>5590531</v>
      </c>
      <c r="E56" s="275">
        <f t="shared" si="22"/>
        <v>7456134</v>
      </c>
      <c r="F56" s="275">
        <f t="shared" si="22"/>
        <v>9326078</v>
      </c>
      <c r="G56" s="275">
        <f t="shared" si="22"/>
        <v>11196071.699999999</v>
      </c>
      <c r="H56" s="275">
        <f t="shared" si="22"/>
        <v>13066071.699999999</v>
      </c>
      <c r="I56" s="275">
        <f t="shared" si="22"/>
        <v>14935271.699999999</v>
      </c>
      <c r="J56" s="275">
        <f t="shared" si="22"/>
        <v>16806511.699999999</v>
      </c>
      <c r="K56" s="275">
        <f t="shared" si="22"/>
        <v>18736011.699999999</v>
      </c>
      <c r="L56" s="275">
        <f t="shared" si="22"/>
        <v>20664711.699999999</v>
      </c>
      <c r="M56" s="275">
        <f t="shared" si="22"/>
        <v>22595451.699999999</v>
      </c>
      <c r="N56" s="275">
        <f t="shared" si="22"/>
        <v>24524951.699999999</v>
      </c>
      <c r="O56" s="275">
        <f t="shared" si="22"/>
        <v>26453651.699999999</v>
      </c>
      <c r="P56" s="275">
        <f t="shared" si="22"/>
        <v>28384391.699999999</v>
      </c>
      <c r="Q56" s="275">
        <f t="shared" si="22"/>
        <v>30313891.699999999</v>
      </c>
      <c r="R56" s="275">
        <f t="shared" si="22"/>
        <v>32242591.699999999</v>
      </c>
      <c r="S56" s="275">
        <f t="shared" si="22"/>
        <v>34173331.700000003</v>
      </c>
      <c r="T56" s="275">
        <f>S56+SUM(T48:T50)</f>
        <v>36102831.700000003</v>
      </c>
      <c r="U56" s="275">
        <f>T56+SUM(U48:U50)</f>
        <v>38032331.700000003</v>
      </c>
      <c r="V56" s="275">
        <f>U56+SUM(V48:V50)</f>
        <v>39961831.700000003</v>
      </c>
      <c r="W56" s="276" t="s">
        <v>334</v>
      </c>
      <c r="X56" s="276">
        <f>MIN(B56:V56)</f>
        <v>1858000</v>
      </c>
    </row>
    <row r="57" spans="1:25" x14ac:dyDescent="0.25">
      <c r="A57" s="95" t="s">
        <v>333</v>
      </c>
      <c r="B57" s="275">
        <f>B51</f>
        <v>1858000</v>
      </c>
      <c r="C57" s="275">
        <f>B57+C51</f>
        <v>3724928</v>
      </c>
      <c r="D57" s="275">
        <f t="shared" ref="D57:V57" si="23">C57+D51</f>
        <v>5590531</v>
      </c>
      <c r="E57" s="275">
        <f t="shared" si="23"/>
        <v>7456134</v>
      </c>
      <c r="F57" s="275">
        <f t="shared" si="23"/>
        <v>9326078</v>
      </c>
      <c r="G57" s="275">
        <f t="shared" si="23"/>
        <v>11196071.699999999</v>
      </c>
      <c r="H57" s="275">
        <f t="shared" si="23"/>
        <v>13066071.699999999</v>
      </c>
      <c r="I57" s="275">
        <f t="shared" si="23"/>
        <v>14935271.699999999</v>
      </c>
      <c r="J57" s="275">
        <f t="shared" si="23"/>
        <v>16806511.699999999</v>
      </c>
      <c r="K57" s="275">
        <f t="shared" si="23"/>
        <v>18736011.699999999</v>
      </c>
      <c r="L57" s="275">
        <f t="shared" si="23"/>
        <v>20664711.699999999</v>
      </c>
      <c r="M57" s="275">
        <f t="shared" si="23"/>
        <v>22595451.699999999</v>
      </c>
      <c r="N57" s="275">
        <f t="shared" si="23"/>
        <v>24524951.699999999</v>
      </c>
      <c r="O57" s="275">
        <f t="shared" si="23"/>
        <v>26453651.699999999</v>
      </c>
      <c r="P57" s="275">
        <f t="shared" si="23"/>
        <v>28384391.699999999</v>
      </c>
      <c r="Q57" s="275">
        <f t="shared" si="23"/>
        <v>30313891.699999999</v>
      </c>
      <c r="R57" s="275">
        <f t="shared" si="23"/>
        <v>32242591.699999999</v>
      </c>
      <c r="S57" s="275">
        <f t="shared" si="23"/>
        <v>34173331.700000003</v>
      </c>
      <c r="T57" s="275">
        <f t="shared" si="23"/>
        <v>36102831.700000003</v>
      </c>
      <c r="U57" s="275">
        <f t="shared" si="23"/>
        <v>38032331.700000003</v>
      </c>
      <c r="V57" s="275">
        <f t="shared" si="23"/>
        <v>39961831.700000003</v>
      </c>
      <c r="W57" s="276" t="s">
        <v>334</v>
      </c>
      <c r="X57" s="276">
        <f>MIN(B57:V57)</f>
        <v>1858000</v>
      </c>
    </row>
    <row r="58" spans="1:25" s="284" customFormat="1" x14ac:dyDescent="0.25">
      <c r="A58" s="281" t="s">
        <v>347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3"/>
      <c r="X58" s="283"/>
      <c r="Y58" s="47"/>
    </row>
    <row r="59" spans="1:25" x14ac:dyDescent="0.25">
      <c r="A59" s="278" t="s">
        <v>342</v>
      </c>
      <c r="B59" s="64">
        <f t="shared" ref="B59:Q62" si="24">IF(AND(B53&lt;0,C53&gt;0),B$2+(-B53/(-B53+C53)),0)</f>
        <v>0</v>
      </c>
      <c r="C59" s="64">
        <f t="shared" si="24"/>
        <v>0</v>
      </c>
      <c r="D59" s="64">
        <f t="shared" si="24"/>
        <v>0</v>
      </c>
      <c r="E59" s="64">
        <f t="shared" si="24"/>
        <v>0</v>
      </c>
      <c r="F59" s="64">
        <f t="shared" si="24"/>
        <v>0</v>
      </c>
      <c r="G59" s="64">
        <f t="shared" si="24"/>
        <v>0</v>
      </c>
      <c r="H59" s="64">
        <f t="shared" si="24"/>
        <v>0</v>
      </c>
      <c r="I59" s="64">
        <f t="shared" si="24"/>
        <v>0</v>
      </c>
      <c r="J59" s="64">
        <f t="shared" si="24"/>
        <v>0</v>
      </c>
      <c r="K59" s="64">
        <f t="shared" si="24"/>
        <v>0</v>
      </c>
      <c r="L59" s="64">
        <f t="shared" si="24"/>
        <v>0</v>
      </c>
      <c r="M59" s="64">
        <f>IF(AND(M53&lt;0,N53&gt;0),M$2+(-M53/(-M53+N53)),0)</f>
        <v>12.295094117647059</v>
      </c>
      <c r="N59" s="64">
        <f t="shared" ref="N59:S62" si="25">IF(AND(N53&lt;0,O53&gt;0),N$2+(-N53/(-N53+O53)),0)</f>
        <v>0</v>
      </c>
      <c r="O59" s="64">
        <f t="shared" si="25"/>
        <v>0</v>
      </c>
      <c r="P59" s="64">
        <f t="shared" si="25"/>
        <v>0</v>
      </c>
      <c r="Q59" s="64">
        <f t="shared" si="25"/>
        <v>0</v>
      </c>
      <c r="R59" s="64">
        <f t="shared" si="25"/>
        <v>0</v>
      </c>
      <c r="S59" s="64">
        <f t="shared" si="25"/>
        <v>0</v>
      </c>
      <c r="T59" s="64">
        <f t="shared" ref="T59:V62" si="26">IF(AND(T53&lt;0,V53&gt;0),T$2+(-T53/(-T53+V53)),0)</f>
        <v>0</v>
      </c>
      <c r="U59" s="64">
        <f t="shared" si="26"/>
        <v>0</v>
      </c>
      <c r="V59" s="64">
        <f t="shared" si="26"/>
        <v>0</v>
      </c>
      <c r="W59" s="279" t="s">
        <v>346</v>
      </c>
      <c r="X59" s="280">
        <f>MAX(B59:V59)</f>
        <v>12.295094117647059</v>
      </c>
    </row>
    <row r="60" spans="1:25" x14ac:dyDescent="0.25">
      <c r="A60" s="278" t="s">
        <v>343</v>
      </c>
      <c r="B60" s="64">
        <f t="shared" si="24"/>
        <v>0</v>
      </c>
      <c r="C60" s="64">
        <f t="shared" si="24"/>
        <v>0</v>
      </c>
      <c r="D60" s="64">
        <f t="shared" si="24"/>
        <v>0</v>
      </c>
      <c r="E60" s="64">
        <f t="shared" si="24"/>
        <v>0</v>
      </c>
      <c r="F60" s="64">
        <f t="shared" si="24"/>
        <v>0</v>
      </c>
      <c r="G60" s="64">
        <f t="shared" si="24"/>
        <v>0</v>
      </c>
      <c r="H60" s="64">
        <f t="shared" si="24"/>
        <v>0</v>
      </c>
      <c r="I60" s="64">
        <f t="shared" si="24"/>
        <v>0</v>
      </c>
      <c r="J60" s="64">
        <f t="shared" si="24"/>
        <v>0</v>
      </c>
      <c r="K60" s="64">
        <f t="shared" si="24"/>
        <v>0</v>
      </c>
      <c r="L60" s="64">
        <f t="shared" si="24"/>
        <v>0</v>
      </c>
      <c r="M60" s="64">
        <f t="shared" si="24"/>
        <v>0</v>
      </c>
      <c r="N60" s="64">
        <f t="shared" si="24"/>
        <v>0</v>
      </c>
      <c r="O60" s="64">
        <f t="shared" si="24"/>
        <v>0</v>
      </c>
      <c r="P60" s="64">
        <f t="shared" si="24"/>
        <v>0</v>
      </c>
      <c r="Q60" s="64">
        <f t="shared" si="24"/>
        <v>0</v>
      </c>
      <c r="R60" s="64">
        <f t="shared" si="25"/>
        <v>0</v>
      </c>
      <c r="S60" s="64">
        <f t="shared" si="25"/>
        <v>0</v>
      </c>
      <c r="T60" s="64">
        <f t="shared" si="26"/>
        <v>0</v>
      </c>
      <c r="U60" s="64">
        <f t="shared" si="26"/>
        <v>0</v>
      </c>
      <c r="V60" s="64">
        <f t="shared" si="26"/>
        <v>0</v>
      </c>
      <c r="W60" s="279" t="s">
        <v>346</v>
      </c>
      <c r="X60" s="280">
        <f>MAX(B60:V60)</f>
        <v>0</v>
      </c>
    </row>
    <row r="61" spans="1:25" x14ac:dyDescent="0.25">
      <c r="A61" s="278" t="s">
        <v>344</v>
      </c>
      <c r="B61" s="64">
        <f t="shared" si="24"/>
        <v>0</v>
      </c>
      <c r="C61" s="64">
        <f t="shared" si="24"/>
        <v>0</v>
      </c>
      <c r="D61" s="64">
        <f t="shared" si="24"/>
        <v>0</v>
      </c>
      <c r="E61" s="64">
        <f t="shared" si="24"/>
        <v>0</v>
      </c>
      <c r="F61" s="64">
        <f t="shared" si="24"/>
        <v>0</v>
      </c>
      <c r="G61" s="64">
        <f t="shared" si="24"/>
        <v>0</v>
      </c>
      <c r="H61" s="64">
        <f t="shared" si="24"/>
        <v>0</v>
      </c>
      <c r="I61" s="64">
        <f t="shared" si="24"/>
        <v>8.2439024390243905</v>
      </c>
      <c r="J61" s="64">
        <f t="shared" si="24"/>
        <v>0</v>
      </c>
      <c r="K61" s="64">
        <f t="shared" si="24"/>
        <v>0</v>
      </c>
      <c r="L61" s="64">
        <f t="shared" si="24"/>
        <v>0</v>
      </c>
      <c r="M61" s="64">
        <f t="shared" si="24"/>
        <v>0</v>
      </c>
      <c r="N61" s="64">
        <f t="shared" si="24"/>
        <v>0</v>
      </c>
      <c r="O61" s="64">
        <f t="shared" si="24"/>
        <v>0</v>
      </c>
      <c r="P61" s="64">
        <f t="shared" si="24"/>
        <v>0</v>
      </c>
      <c r="Q61" s="64">
        <f t="shared" si="24"/>
        <v>0</v>
      </c>
      <c r="R61" s="64">
        <f t="shared" si="25"/>
        <v>0</v>
      </c>
      <c r="S61" s="64">
        <f t="shared" si="25"/>
        <v>0</v>
      </c>
      <c r="T61" s="64">
        <f t="shared" si="26"/>
        <v>0</v>
      </c>
      <c r="U61" s="64">
        <f t="shared" si="26"/>
        <v>0</v>
      </c>
      <c r="V61" s="64">
        <f t="shared" si="26"/>
        <v>0</v>
      </c>
      <c r="W61" s="279" t="s">
        <v>346</v>
      </c>
      <c r="X61" s="280">
        <f>MAX(B61:V61)</f>
        <v>8.2439024390243905</v>
      </c>
    </row>
    <row r="62" spans="1:25" x14ac:dyDescent="0.25">
      <c r="A62" s="278" t="s">
        <v>345</v>
      </c>
      <c r="B62" s="64">
        <f t="shared" si="24"/>
        <v>0</v>
      </c>
      <c r="C62" s="64">
        <f t="shared" si="24"/>
        <v>0</v>
      </c>
      <c r="D62" s="64">
        <f t="shared" si="24"/>
        <v>0</v>
      </c>
      <c r="E62" s="64">
        <f t="shared" si="24"/>
        <v>0</v>
      </c>
      <c r="F62" s="64">
        <f t="shared" si="24"/>
        <v>0</v>
      </c>
      <c r="G62" s="64">
        <f t="shared" si="24"/>
        <v>0</v>
      </c>
      <c r="H62" s="64">
        <f t="shared" si="24"/>
        <v>0</v>
      </c>
      <c r="I62" s="64">
        <f t="shared" si="24"/>
        <v>0</v>
      </c>
      <c r="J62" s="64">
        <f t="shared" si="24"/>
        <v>0</v>
      </c>
      <c r="K62" s="64">
        <f t="shared" si="24"/>
        <v>0</v>
      </c>
      <c r="L62" s="64">
        <f t="shared" si="24"/>
        <v>0</v>
      </c>
      <c r="M62" s="64">
        <f t="shared" si="24"/>
        <v>0</v>
      </c>
      <c r="N62" s="64">
        <f t="shared" si="24"/>
        <v>0</v>
      </c>
      <c r="O62" s="64">
        <f t="shared" si="24"/>
        <v>0</v>
      </c>
      <c r="P62" s="64">
        <f t="shared" si="24"/>
        <v>0</v>
      </c>
      <c r="Q62" s="64">
        <f t="shared" si="24"/>
        <v>0</v>
      </c>
      <c r="R62" s="64">
        <f t="shared" si="25"/>
        <v>0</v>
      </c>
      <c r="S62" s="64">
        <f t="shared" si="25"/>
        <v>0</v>
      </c>
      <c r="T62" s="64">
        <f t="shared" si="26"/>
        <v>0</v>
      </c>
      <c r="U62" s="64">
        <f t="shared" si="26"/>
        <v>0</v>
      </c>
      <c r="V62" s="64">
        <f t="shared" si="26"/>
        <v>0</v>
      </c>
      <c r="W62" s="279" t="s">
        <v>346</v>
      </c>
      <c r="X62" s="280">
        <f>MAX(B62:V62)</f>
        <v>0</v>
      </c>
    </row>
    <row r="63" spans="1:25" x14ac:dyDescent="0.25">
      <c r="A63" t="s">
        <v>319</v>
      </c>
    </row>
    <row r="64" spans="1:25" x14ac:dyDescent="0.25">
      <c r="A64" t="s">
        <v>320</v>
      </c>
      <c r="B64" s="248">
        <f t="shared" ref="B64:V66" si="27">B48-B19</f>
        <v>-7603</v>
      </c>
      <c r="C64" s="215">
        <f t="shared" si="27"/>
        <v>1325</v>
      </c>
      <c r="D64" s="215">
        <f t="shared" si="27"/>
        <v>0</v>
      </c>
      <c r="E64" s="215">
        <f t="shared" si="27"/>
        <v>0</v>
      </c>
      <c r="F64" s="215">
        <f t="shared" si="27"/>
        <v>4341</v>
      </c>
      <c r="G64" s="215">
        <f t="shared" si="27"/>
        <v>4390.7</v>
      </c>
      <c r="H64" s="215">
        <f t="shared" si="27"/>
        <v>4397</v>
      </c>
      <c r="I64" s="215">
        <f t="shared" si="27"/>
        <v>4397</v>
      </c>
      <c r="J64" s="215">
        <f t="shared" si="27"/>
        <v>2357</v>
      </c>
      <c r="K64" s="215">
        <f t="shared" si="27"/>
        <v>12897</v>
      </c>
      <c r="L64" s="215">
        <f t="shared" si="27"/>
        <v>12897</v>
      </c>
      <c r="M64" s="215">
        <f t="shared" si="27"/>
        <v>10857</v>
      </c>
      <c r="N64" s="215">
        <f t="shared" si="27"/>
        <v>11988</v>
      </c>
      <c r="O64" s="215">
        <f t="shared" si="27"/>
        <v>11988</v>
      </c>
      <c r="P64" s="215">
        <f t="shared" si="27"/>
        <v>6466.3</v>
      </c>
      <c r="Q64" s="215">
        <f t="shared" si="27"/>
        <v>8500</v>
      </c>
      <c r="R64" s="215">
        <f t="shared" si="27"/>
        <v>8500</v>
      </c>
      <c r="S64" s="215">
        <f t="shared" si="27"/>
        <v>8500</v>
      </c>
      <c r="T64" s="215">
        <f t="shared" si="27"/>
        <v>0</v>
      </c>
      <c r="U64" s="215">
        <f t="shared" si="27"/>
        <v>0</v>
      </c>
      <c r="V64" s="215">
        <f t="shared" si="27"/>
        <v>0</v>
      </c>
      <c r="W64" s="189">
        <f>SUM(B64:V64)</f>
        <v>106198</v>
      </c>
      <c r="X64" s="189">
        <f>NPV('1сел'!$X$1,B64:V64)</f>
        <v>82086.987473545305</v>
      </c>
    </row>
    <row r="65" spans="1:25" x14ac:dyDescent="0.25">
      <c r="A65" t="s">
        <v>321</v>
      </c>
      <c r="B65">
        <f t="shared" si="27"/>
        <v>0</v>
      </c>
      <c r="C65">
        <f t="shared" si="27"/>
        <v>0</v>
      </c>
      <c r="D65">
        <f t="shared" si="27"/>
        <v>0</v>
      </c>
      <c r="E65">
        <f t="shared" si="27"/>
        <v>0</v>
      </c>
      <c r="F65">
        <f t="shared" si="27"/>
        <v>0</v>
      </c>
      <c r="G65">
        <f t="shared" si="27"/>
        <v>0</v>
      </c>
      <c r="H65">
        <f t="shared" si="27"/>
        <v>0</v>
      </c>
      <c r="I65">
        <f t="shared" si="27"/>
        <v>0</v>
      </c>
      <c r="J65">
        <f t="shared" si="27"/>
        <v>0</v>
      </c>
      <c r="K65">
        <f t="shared" si="27"/>
        <v>51000</v>
      </c>
      <c r="L65">
        <f t="shared" si="27"/>
        <v>51000</v>
      </c>
      <c r="M65">
        <f t="shared" si="27"/>
        <v>51000</v>
      </c>
      <c r="N65">
        <f t="shared" si="27"/>
        <v>51000</v>
      </c>
      <c r="O65">
        <f t="shared" si="27"/>
        <v>51000</v>
      </c>
      <c r="P65">
        <f t="shared" si="27"/>
        <v>51000</v>
      </c>
      <c r="Q65">
        <f t="shared" si="27"/>
        <v>51000</v>
      </c>
      <c r="R65">
        <f t="shared" si="27"/>
        <v>51000</v>
      </c>
      <c r="S65">
        <f t="shared" si="27"/>
        <v>51000</v>
      </c>
      <c r="T65">
        <f t="shared" si="27"/>
        <v>0</v>
      </c>
      <c r="U65">
        <f t="shared" si="27"/>
        <v>0</v>
      </c>
      <c r="V65">
        <f t="shared" si="27"/>
        <v>0</v>
      </c>
      <c r="W65" s="189">
        <f>SUM(B65:V65)</f>
        <v>459000</v>
      </c>
      <c r="X65" s="189">
        <f>NPV('1сел'!$X$1,B65:V65)</f>
        <v>348319.52181293961</v>
      </c>
    </row>
    <row r="66" spans="1:25" x14ac:dyDescent="0.25">
      <c r="A66" t="s">
        <v>322</v>
      </c>
      <c r="B66" s="215">
        <f t="shared" si="27"/>
        <v>0</v>
      </c>
      <c r="C66" s="215">
        <f t="shared" si="27"/>
        <v>0</v>
      </c>
      <c r="D66" s="215">
        <f t="shared" si="27"/>
        <v>0</v>
      </c>
      <c r="E66" s="215">
        <f t="shared" si="27"/>
        <v>0</v>
      </c>
      <c r="F66" s="215">
        <f t="shared" si="27"/>
        <v>0</v>
      </c>
      <c r="G66" s="215">
        <f t="shared" si="27"/>
        <v>0</v>
      </c>
      <c r="H66" s="215">
        <f t="shared" si="27"/>
        <v>0</v>
      </c>
      <c r="I66" s="215">
        <f t="shared" si="27"/>
        <v>-800.00000000000011</v>
      </c>
      <c r="J66" s="215">
        <f t="shared" si="27"/>
        <v>3280</v>
      </c>
      <c r="K66" s="215">
        <f t="shared" si="27"/>
        <v>0</v>
      </c>
      <c r="L66" s="215">
        <f t="shared" si="27"/>
        <v>-800.00000000000011</v>
      </c>
      <c r="M66" s="215">
        <f t="shared" si="27"/>
        <v>3280</v>
      </c>
      <c r="N66" s="215">
        <f t="shared" si="27"/>
        <v>0</v>
      </c>
      <c r="O66" s="215">
        <f t="shared" si="27"/>
        <v>-800.00000000000011</v>
      </c>
      <c r="P66" s="215">
        <f t="shared" si="27"/>
        <v>3280</v>
      </c>
      <c r="Q66" s="215">
        <f t="shared" si="27"/>
        <v>0</v>
      </c>
      <c r="R66" s="215">
        <f t="shared" si="27"/>
        <v>0</v>
      </c>
      <c r="S66" s="215">
        <f t="shared" si="27"/>
        <v>2040</v>
      </c>
      <c r="T66" s="215">
        <f t="shared" si="27"/>
        <v>0</v>
      </c>
      <c r="U66" s="215">
        <f t="shared" si="27"/>
        <v>0</v>
      </c>
      <c r="V66" s="215">
        <f t="shared" si="27"/>
        <v>0</v>
      </c>
      <c r="W66" s="189">
        <f>SUM(B66:V66)</f>
        <v>9480</v>
      </c>
      <c r="X66" s="189">
        <f>NPV('1сел'!$X$1,B66:V66)</f>
        <v>7263.725579365012</v>
      </c>
    </row>
    <row r="67" spans="1:25" x14ac:dyDescent="0.25">
      <c r="A67" s="145" t="s">
        <v>419</v>
      </c>
      <c r="B67" s="248">
        <f>SUM(B64:B66)</f>
        <v>-7603</v>
      </c>
      <c r="C67" s="215">
        <f t="shared" ref="C67:V67" si="28">SUM(C64:C66)</f>
        <v>1325</v>
      </c>
      <c r="D67" s="215">
        <f t="shared" si="28"/>
        <v>0</v>
      </c>
      <c r="E67" s="215">
        <f t="shared" si="28"/>
        <v>0</v>
      </c>
      <c r="F67" s="215">
        <f t="shared" si="28"/>
        <v>4341</v>
      </c>
      <c r="G67" s="215">
        <f t="shared" si="28"/>
        <v>4390.7</v>
      </c>
      <c r="H67" s="215">
        <f t="shared" si="28"/>
        <v>4397</v>
      </c>
      <c r="I67" s="215">
        <f t="shared" si="28"/>
        <v>3597</v>
      </c>
      <c r="J67" s="215">
        <f t="shared" si="28"/>
        <v>5637</v>
      </c>
      <c r="K67" s="215">
        <f t="shared" si="28"/>
        <v>63897</v>
      </c>
      <c r="L67" s="215">
        <f t="shared" si="28"/>
        <v>63097</v>
      </c>
      <c r="M67" s="215">
        <f t="shared" si="28"/>
        <v>65137</v>
      </c>
      <c r="N67" s="215">
        <f t="shared" si="28"/>
        <v>62988</v>
      </c>
      <c r="O67" s="215">
        <f t="shared" si="28"/>
        <v>62188</v>
      </c>
      <c r="P67" s="215">
        <f t="shared" si="28"/>
        <v>60746.3</v>
      </c>
      <c r="Q67" s="215">
        <f t="shared" si="28"/>
        <v>59500</v>
      </c>
      <c r="R67" s="215">
        <f t="shared" si="28"/>
        <v>59500</v>
      </c>
      <c r="S67" s="215">
        <f t="shared" si="28"/>
        <v>61540</v>
      </c>
      <c r="T67" s="215">
        <f t="shared" si="28"/>
        <v>0</v>
      </c>
      <c r="U67" s="215">
        <f t="shared" si="28"/>
        <v>0</v>
      </c>
      <c r="V67" s="215">
        <f t="shared" si="28"/>
        <v>0</v>
      </c>
      <c r="W67" s="189">
        <f>SUM(B67:V67)</f>
        <v>574678</v>
      </c>
      <c r="X67" s="189">
        <f>NPV('1сел'!$X$1,B67:V67)</f>
        <v>437670.23486584984</v>
      </c>
    </row>
    <row r="68" spans="1:25" x14ac:dyDescent="0.25">
      <c r="A68" t="s">
        <v>420</v>
      </c>
    </row>
    <row r="69" spans="1:25" x14ac:dyDescent="0.25">
      <c r="A69" t="s">
        <v>320</v>
      </c>
      <c r="B69" s="248">
        <f>'1сел'!B38</f>
        <v>-7603</v>
      </c>
      <c r="C69" s="215">
        <f>'1сел'!C38</f>
        <v>1325</v>
      </c>
      <c r="D69" s="215">
        <f>'1сел'!D38</f>
        <v>0</v>
      </c>
      <c r="E69" s="215">
        <f>'1сел'!E38</f>
        <v>0</v>
      </c>
      <c r="F69" s="215">
        <f>'1сел'!F38</f>
        <v>4341</v>
      </c>
      <c r="G69" s="215">
        <f>'1сел'!G38</f>
        <v>4390.7</v>
      </c>
      <c r="H69" s="215">
        <f>'1сел'!H38</f>
        <v>4397</v>
      </c>
      <c r="I69" s="215">
        <f>'1сел'!I38</f>
        <v>4397</v>
      </c>
      <c r="J69" s="215">
        <f>'1сел'!J38</f>
        <v>2357</v>
      </c>
      <c r="K69" s="215">
        <f>'1сел'!K38</f>
        <v>12897</v>
      </c>
      <c r="L69" s="215">
        <f>'1сел'!L38</f>
        <v>12897</v>
      </c>
      <c r="M69" s="215">
        <f>'1сел'!M38</f>
        <v>10857</v>
      </c>
      <c r="N69" s="215">
        <f>'1сел'!N38</f>
        <v>11988</v>
      </c>
      <c r="O69" s="215">
        <f>'1сел'!O38</f>
        <v>11988</v>
      </c>
      <c r="P69" s="215">
        <f>'1сел'!P38</f>
        <v>6466.3</v>
      </c>
      <c r="Q69" s="215">
        <f>'1сел'!Q38</f>
        <v>8500</v>
      </c>
      <c r="R69" s="215">
        <f>'1сел'!R38</f>
        <v>8500</v>
      </c>
      <c r="S69" s="215">
        <f>'1сел'!S38</f>
        <v>8500</v>
      </c>
      <c r="T69" s="215">
        <f>'1сел'!T38</f>
        <v>0</v>
      </c>
      <c r="U69" s="215">
        <f>'1сел'!U38</f>
        <v>0</v>
      </c>
      <c r="V69" s="215">
        <f>'1сел'!V38</f>
        <v>0</v>
      </c>
      <c r="W69" s="189">
        <f>SUM(B69:V69)</f>
        <v>106198</v>
      </c>
      <c r="X69" s="189">
        <f>NPV('1сел'!$X$1,B69:V69)</f>
        <v>82086.987473545305</v>
      </c>
    </row>
    <row r="70" spans="1:25" x14ac:dyDescent="0.25">
      <c r="A70" t="s">
        <v>321</v>
      </c>
      <c r="B70" s="215">
        <f>'3товар'!B26*1000</f>
        <v>0</v>
      </c>
      <c r="C70" s="215">
        <f>'3товар'!C26*1000</f>
        <v>0</v>
      </c>
      <c r="D70" s="215">
        <f>'3товар'!D26*1000</f>
        <v>0</v>
      </c>
      <c r="E70" s="215">
        <f>'3товар'!E26*1000</f>
        <v>0</v>
      </c>
      <c r="F70" s="215">
        <f>'3товар'!F26*1000</f>
        <v>0</v>
      </c>
      <c r="G70" s="215">
        <f>'3товар'!G26*1000</f>
        <v>0</v>
      </c>
      <c r="H70" s="215">
        <f>'3товар'!H26*1000</f>
        <v>0</v>
      </c>
      <c r="I70" s="215">
        <f>'3товар'!I26*1000</f>
        <v>0</v>
      </c>
      <c r="J70" s="215">
        <f>'3товар'!J26*1000</f>
        <v>0</v>
      </c>
      <c r="K70" s="215">
        <f>'3товар'!K26*1000</f>
        <v>51000</v>
      </c>
      <c r="L70" s="215">
        <f>'3товар'!L26*1000</f>
        <v>51000</v>
      </c>
      <c r="M70" s="215">
        <f>'3товар'!M26*1000</f>
        <v>51000</v>
      </c>
      <c r="N70" s="215">
        <f>'3товар'!N26*1000</f>
        <v>51000</v>
      </c>
      <c r="O70" s="215">
        <f>'3товар'!O26*1000</f>
        <v>51000</v>
      </c>
      <c r="P70" s="215">
        <f>'3товар'!P26*1000</f>
        <v>51000</v>
      </c>
      <c r="Q70" s="215">
        <f>'3товар'!Q26*1000</f>
        <v>51000</v>
      </c>
      <c r="R70" s="215">
        <f>'3товар'!R26*1000</f>
        <v>51000</v>
      </c>
      <c r="S70" s="215">
        <f>'3товар'!S26*1000</f>
        <v>51000</v>
      </c>
      <c r="T70" s="215">
        <f>'3товар'!T26*1000</f>
        <v>0</v>
      </c>
      <c r="U70" s="215">
        <f>'3товар'!U26*1000</f>
        <v>0</v>
      </c>
      <c r="V70" s="215">
        <f>'3товар'!V26*1000</f>
        <v>0</v>
      </c>
      <c r="W70" s="189">
        <f>SUM(B70:V70)</f>
        <v>459000</v>
      </c>
      <c r="X70" s="189">
        <f>NPV('1сел'!$X$1,B70:V70)</f>
        <v>348319.52181293961</v>
      </c>
    </row>
    <row r="71" spans="1:25" x14ac:dyDescent="0.25">
      <c r="A71" t="s">
        <v>322</v>
      </c>
      <c r="B71" s="215">
        <f>'2сем'!B38</f>
        <v>0</v>
      </c>
      <c r="C71" s="215">
        <f>'2сем'!C38</f>
        <v>0</v>
      </c>
      <c r="D71" s="215">
        <f>'2сем'!D38</f>
        <v>0</v>
      </c>
      <c r="E71" s="215">
        <f>'2сем'!E38</f>
        <v>0</v>
      </c>
      <c r="F71" s="215">
        <f>'2сем'!F38</f>
        <v>0</v>
      </c>
      <c r="G71" s="215">
        <f>'2сем'!G38</f>
        <v>0</v>
      </c>
      <c r="H71" s="215">
        <f>'2сем'!H38</f>
        <v>0</v>
      </c>
      <c r="I71" s="215">
        <f>'2сем'!I38</f>
        <v>-800.00000000000011</v>
      </c>
      <c r="J71" s="215">
        <f>'2сем'!J38</f>
        <v>1240</v>
      </c>
      <c r="K71" s="215">
        <f>'2сем'!K38</f>
        <v>0</v>
      </c>
      <c r="L71" s="215">
        <f>'2сем'!L38</f>
        <v>-800.00000000000011</v>
      </c>
      <c r="M71" s="215">
        <f>'2сем'!M38</f>
        <v>1240</v>
      </c>
      <c r="N71" s="215">
        <f>'2сем'!N38</f>
        <v>0</v>
      </c>
      <c r="O71" s="215">
        <f>'2сем'!O38</f>
        <v>-800.00000000000011</v>
      </c>
      <c r="P71" s="215">
        <f>'2сем'!P38</f>
        <v>1240</v>
      </c>
      <c r="Q71" s="215">
        <f>'2сем'!Q38</f>
        <v>0</v>
      </c>
      <c r="R71" s="215">
        <f>'2сем'!R38</f>
        <v>0</v>
      </c>
      <c r="S71" s="215">
        <f>'2сем'!S38</f>
        <v>0</v>
      </c>
      <c r="T71" s="215">
        <f>'2сем'!T38</f>
        <v>0</v>
      </c>
      <c r="U71" s="215">
        <f>'2сем'!U38</f>
        <v>0</v>
      </c>
      <c r="V71" s="215">
        <f>'2сем'!V38</f>
        <v>0</v>
      </c>
      <c r="W71" s="189">
        <f>SUM(B71:V71)</f>
        <v>1319.9999999999995</v>
      </c>
      <c r="X71" s="189">
        <f>NPV('1сел'!$X$1,B71:V71)</f>
        <v>1004.143584691761</v>
      </c>
    </row>
    <row r="72" spans="1:25" x14ac:dyDescent="0.25">
      <c r="A72" s="299" t="s">
        <v>325</v>
      </c>
      <c r="B72" s="419">
        <f>SUM(B64:B66)</f>
        <v>-7603</v>
      </c>
      <c r="C72" s="215">
        <f t="shared" ref="C72:V72" si="29">SUM(C69:C71)</f>
        <v>1325</v>
      </c>
      <c r="D72" s="215">
        <f t="shared" si="29"/>
        <v>0</v>
      </c>
      <c r="E72" s="215">
        <f t="shared" si="29"/>
        <v>0</v>
      </c>
      <c r="F72" s="215">
        <f t="shared" si="29"/>
        <v>4341</v>
      </c>
      <c r="G72" s="215">
        <f t="shared" si="29"/>
        <v>4390.7</v>
      </c>
      <c r="H72" s="215">
        <f t="shared" si="29"/>
        <v>4397</v>
      </c>
      <c r="I72" s="215">
        <f t="shared" si="29"/>
        <v>3597</v>
      </c>
      <c r="J72" s="215">
        <f t="shared" si="29"/>
        <v>3597</v>
      </c>
      <c r="K72" s="215">
        <f t="shared" si="29"/>
        <v>63897</v>
      </c>
      <c r="L72" s="215">
        <f t="shared" si="29"/>
        <v>63097</v>
      </c>
      <c r="M72" s="215">
        <f t="shared" si="29"/>
        <v>63097</v>
      </c>
      <c r="N72" s="215">
        <f t="shared" si="29"/>
        <v>62988</v>
      </c>
      <c r="O72" s="215">
        <f t="shared" si="29"/>
        <v>62188</v>
      </c>
      <c r="P72" s="215">
        <f t="shared" si="29"/>
        <v>58706.3</v>
      </c>
      <c r="Q72" s="215">
        <f t="shared" si="29"/>
        <v>59500</v>
      </c>
      <c r="R72" s="215">
        <f t="shared" si="29"/>
        <v>59500</v>
      </c>
      <c r="S72" s="215">
        <f t="shared" si="29"/>
        <v>59500</v>
      </c>
      <c r="T72" s="215">
        <f t="shared" si="29"/>
        <v>0</v>
      </c>
      <c r="U72" s="215">
        <f t="shared" si="29"/>
        <v>0</v>
      </c>
      <c r="V72" s="215">
        <f t="shared" si="29"/>
        <v>0</v>
      </c>
      <c r="W72" s="189">
        <f>SUM(B72:V72)</f>
        <v>566518</v>
      </c>
      <c r="X72" s="277">
        <f>NPV('1сел'!$X$1,B72:V72)</f>
        <v>431410.6528711766</v>
      </c>
    </row>
    <row r="73" spans="1:25" s="264" customFormat="1" ht="12.75" x14ac:dyDescent="0.2">
      <c r="A73" s="264" t="s">
        <v>326</v>
      </c>
      <c r="B73" s="266">
        <f>B67-B72</f>
        <v>0</v>
      </c>
      <c r="C73" s="266">
        <f t="shared" ref="C73:V73" si="30">C67-C72</f>
        <v>0</v>
      </c>
      <c r="D73" s="266">
        <f t="shared" si="30"/>
        <v>0</v>
      </c>
      <c r="E73" s="266">
        <f t="shared" si="30"/>
        <v>0</v>
      </c>
      <c r="F73" s="266">
        <f t="shared" si="30"/>
        <v>0</v>
      </c>
      <c r="G73" s="266">
        <f t="shared" si="30"/>
        <v>0</v>
      </c>
      <c r="H73" s="266">
        <f t="shared" si="30"/>
        <v>0</v>
      </c>
      <c r="I73" s="266">
        <f t="shared" si="30"/>
        <v>0</v>
      </c>
      <c r="J73" s="266">
        <f t="shared" si="30"/>
        <v>2040</v>
      </c>
      <c r="K73" s="266">
        <f t="shared" si="30"/>
        <v>0</v>
      </c>
      <c r="L73" s="266">
        <f t="shared" si="30"/>
        <v>0</v>
      </c>
      <c r="M73" s="266">
        <f t="shared" si="30"/>
        <v>2040</v>
      </c>
      <c r="N73" s="266">
        <f t="shared" si="30"/>
        <v>0</v>
      </c>
      <c r="O73" s="266">
        <f t="shared" si="30"/>
        <v>0</v>
      </c>
      <c r="P73" s="266">
        <f t="shared" si="30"/>
        <v>2040</v>
      </c>
      <c r="Q73" s="266">
        <f t="shared" si="30"/>
        <v>0</v>
      </c>
      <c r="R73" s="266">
        <f t="shared" si="30"/>
        <v>0</v>
      </c>
      <c r="S73" s="266">
        <f t="shared" si="30"/>
        <v>2040</v>
      </c>
      <c r="T73" s="266">
        <f t="shared" si="30"/>
        <v>0</v>
      </c>
      <c r="U73" s="266">
        <f t="shared" si="30"/>
        <v>0</v>
      </c>
      <c r="V73" s="266">
        <f t="shared" si="30"/>
        <v>0</v>
      </c>
      <c r="W73" s="265"/>
      <c r="X73" s="265"/>
      <c r="Y73" s="265"/>
    </row>
    <row r="74" spans="1:25" s="72" customFormat="1" ht="11.25" x14ac:dyDescent="0.2">
      <c r="A74" s="72" t="s">
        <v>350</v>
      </c>
      <c r="B74" s="288">
        <f>(1+'1сел'!$X$1)^B$2</f>
        <v>1.02</v>
      </c>
      <c r="C74" s="288">
        <f>(1+'1сел'!$X$1)^C$2</f>
        <v>1.0404</v>
      </c>
      <c r="D74" s="288">
        <f>(1+'1сел'!$X$1)^D$2</f>
        <v>1.0612079999999999</v>
      </c>
      <c r="E74" s="288">
        <f>(1+'1сел'!$X$1)^E$2</f>
        <v>1.08243216</v>
      </c>
      <c r="F74" s="288">
        <f>(1+'1сел'!$X$1)^F$2</f>
        <v>1.1040808032</v>
      </c>
      <c r="G74" s="288">
        <f>(1+'1сел'!$X$1)^G$2</f>
        <v>1.1261624192640001</v>
      </c>
      <c r="H74" s="288">
        <f>(1+'1сел'!$X$1)^H$2</f>
        <v>1.1486856676492798</v>
      </c>
      <c r="I74" s="288">
        <f>(1+'1сел'!$X$1)^I$2</f>
        <v>1.1716593810022655</v>
      </c>
      <c r="J74" s="288">
        <f>(1+'1сел'!$X$1)^J$2</f>
        <v>1.1950925686223108</v>
      </c>
      <c r="K74" s="288">
        <f>(1+'1сел'!$X$1)^K$2</f>
        <v>1.2189944199947571</v>
      </c>
      <c r="L74" s="288">
        <f>(1+'1сел'!$X$1)^L$2</f>
        <v>1.243374308394652</v>
      </c>
      <c r="M74" s="288">
        <f>(1+'1сел'!$X$1)^M$2</f>
        <v>1.2682417945625453</v>
      </c>
      <c r="N74" s="288">
        <f>(1+'1сел'!$X$1)^N$2</f>
        <v>1.2936066304537961</v>
      </c>
      <c r="O74" s="288">
        <f>(1+'1сел'!$X$1)^O$2</f>
        <v>1.3194787630628722</v>
      </c>
      <c r="P74" s="288">
        <f>(1+'1сел'!$X$1)^P$2</f>
        <v>1.3458683383241292</v>
      </c>
      <c r="Q74" s="288">
        <f>(1+'1сел'!$X$1)^Q$2</f>
        <v>1.372785705090612</v>
      </c>
      <c r="R74" s="288">
        <f>(1+'1сел'!$X$1)^R$2</f>
        <v>1.4002414191924244</v>
      </c>
      <c r="S74" s="288">
        <f>(1+'1сел'!$X$1)^S$2</f>
        <v>1.4282462475762727</v>
      </c>
      <c r="T74" s="288">
        <f>(1+'1сел'!$X$1)^T$2</f>
        <v>1.4568111725277981</v>
      </c>
      <c r="U74" s="288">
        <f>(1+'1сел'!$X$1)^U$2</f>
        <v>1.4859473959783542</v>
      </c>
      <c r="V74" s="288">
        <f>(1+'1сел'!$X$1)^V$2</f>
        <v>1.5156663438979212</v>
      </c>
      <c r="W74" s="287"/>
      <c r="X74" s="287"/>
      <c r="Y74" s="287"/>
    </row>
    <row r="75" spans="1:25" s="264" customFormat="1" ht="12.75" x14ac:dyDescent="0.2">
      <c r="A75" s="285" t="s">
        <v>348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5"/>
      <c r="X75" s="265"/>
      <c r="Y75" s="265"/>
    </row>
    <row r="76" spans="1:25" s="264" customFormat="1" ht="18.75" x14ac:dyDescent="0.3">
      <c r="A76" s="264" t="str">
        <f>A69</f>
        <v>Селекционера</v>
      </c>
      <c r="B76" s="289">
        <f>B64/B$74</f>
        <v>-7453.9215686274511</v>
      </c>
      <c r="C76" s="289">
        <f t="shared" ref="C76:V78" si="31">C64/C$74</f>
        <v>1273.5486351403306</v>
      </c>
      <c r="D76" s="289">
        <f t="shared" si="31"/>
        <v>0</v>
      </c>
      <c r="E76" s="289">
        <f t="shared" si="31"/>
        <v>0</v>
      </c>
      <c r="F76" s="289">
        <f t="shared" si="31"/>
        <v>3931.777445471665</v>
      </c>
      <c r="G76" s="289">
        <f t="shared" si="31"/>
        <v>3898.8159477649128</v>
      </c>
      <c r="H76" s="289">
        <f t="shared" si="31"/>
        <v>3827.8531053653796</v>
      </c>
      <c r="I76" s="289">
        <f t="shared" si="31"/>
        <v>3752.7971621229208</v>
      </c>
      <c r="J76" s="289">
        <f t="shared" si="31"/>
        <v>1972.232161661856</v>
      </c>
      <c r="K76" s="289">
        <f t="shared" si="31"/>
        <v>10580.032023489877</v>
      </c>
      <c r="L76" s="289">
        <f t="shared" si="31"/>
        <v>10372.580415186158</v>
      </c>
      <c r="M76" s="289">
        <f t="shared" si="31"/>
        <v>8560.6704072900429</v>
      </c>
      <c r="N76" s="289">
        <f t="shared" si="31"/>
        <v>9267.1139106597038</v>
      </c>
      <c r="O76" s="289">
        <f t="shared" si="31"/>
        <v>9085.4057947644142</v>
      </c>
      <c r="P76" s="289">
        <f t="shared" si="31"/>
        <v>4804.5561485247626</v>
      </c>
      <c r="Q76" s="289">
        <f t="shared" si="31"/>
        <v>6191.7894165709931</v>
      </c>
      <c r="R76" s="289">
        <f t="shared" si="31"/>
        <v>6070.3817809519533</v>
      </c>
      <c r="S76" s="289">
        <f t="shared" si="31"/>
        <v>5951.3546872077977</v>
      </c>
      <c r="T76" s="289">
        <f t="shared" si="31"/>
        <v>0</v>
      </c>
      <c r="U76" s="289">
        <f t="shared" si="31"/>
        <v>0</v>
      </c>
      <c r="V76" s="289">
        <f t="shared" si="31"/>
        <v>0</v>
      </c>
      <c r="W76" s="304">
        <f>SUM(B76:V76)</f>
        <v>82086.987473545305</v>
      </c>
      <c r="X76" s="265"/>
      <c r="Y76" s="265"/>
    </row>
    <row r="77" spans="1:25" s="264" customFormat="1" ht="12.75" x14ac:dyDescent="0.2">
      <c r="A77" s="264" t="str">
        <f>A70</f>
        <v>Товарное производство</v>
      </c>
      <c r="B77" s="289">
        <f>B65/B$74</f>
        <v>0</v>
      </c>
      <c r="C77" s="289">
        <f t="shared" si="31"/>
        <v>0</v>
      </c>
      <c r="D77" s="289">
        <f t="shared" si="31"/>
        <v>0</v>
      </c>
      <c r="E77" s="289">
        <f t="shared" si="31"/>
        <v>0</v>
      </c>
      <c r="F77" s="289">
        <f t="shared" si="31"/>
        <v>0</v>
      </c>
      <c r="G77" s="289">
        <f t="shared" si="31"/>
        <v>0</v>
      </c>
      <c r="H77" s="289">
        <f t="shared" si="31"/>
        <v>0</v>
      </c>
      <c r="I77" s="289">
        <f t="shared" si="31"/>
        <v>0</v>
      </c>
      <c r="J77" s="289">
        <f t="shared" si="31"/>
        <v>0</v>
      </c>
      <c r="K77" s="289">
        <f t="shared" si="31"/>
        <v>41837.763293632917</v>
      </c>
      <c r="L77" s="289">
        <f t="shared" si="31"/>
        <v>41017.414993757775</v>
      </c>
      <c r="M77" s="289">
        <f t="shared" si="31"/>
        <v>40213.151954664478</v>
      </c>
      <c r="N77" s="289">
        <f t="shared" si="31"/>
        <v>39424.65877908282</v>
      </c>
      <c r="O77" s="289">
        <f t="shared" si="31"/>
        <v>38651.62625400276</v>
      </c>
      <c r="P77" s="289">
        <f t="shared" si="31"/>
        <v>37893.751229414484</v>
      </c>
      <c r="Q77" s="289">
        <f t="shared" si="31"/>
        <v>37150.736499425955</v>
      </c>
      <c r="R77" s="289">
        <f t="shared" si="31"/>
        <v>36422.29068571172</v>
      </c>
      <c r="S77" s="289">
        <f t="shared" si="31"/>
        <v>35708.128123246788</v>
      </c>
      <c r="T77" s="289">
        <f t="shared" si="31"/>
        <v>0</v>
      </c>
      <c r="U77" s="289">
        <f t="shared" si="31"/>
        <v>0</v>
      </c>
      <c r="V77" s="289">
        <f t="shared" si="31"/>
        <v>0</v>
      </c>
      <c r="W77" s="427">
        <f>SUM(B77:V77)</f>
        <v>348319.52181293967</v>
      </c>
      <c r="X77" s="265"/>
      <c r="Y77" s="265"/>
    </row>
    <row r="78" spans="1:25" s="264" customFormat="1" ht="18.75" x14ac:dyDescent="0.3">
      <c r="A78" s="264" t="str">
        <f>A71</f>
        <v>Семеноводство</v>
      </c>
      <c r="B78" s="289">
        <f>B66/B$74</f>
        <v>0</v>
      </c>
      <c r="C78" s="289">
        <f t="shared" si="31"/>
        <v>0</v>
      </c>
      <c r="D78" s="289">
        <f t="shared" si="31"/>
        <v>0</v>
      </c>
      <c r="E78" s="289">
        <f t="shared" si="31"/>
        <v>0</v>
      </c>
      <c r="F78" s="289">
        <f t="shared" si="31"/>
        <v>0</v>
      </c>
      <c r="G78" s="289">
        <f t="shared" si="31"/>
        <v>0</v>
      </c>
      <c r="H78" s="289">
        <f t="shared" si="31"/>
        <v>0</v>
      </c>
      <c r="I78" s="289">
        <f t="shared" si="31"/>
        <v>-682.79229695208937</v>
      </c>
      <c r="J78" s="289">
        <f t="shared" si="31"/>
        <v>2744.5572720623195</v>
      </c>
      <c r="K78" s="289">
        <f t="shared" si="31"/>
        <v>0</v>
      </c>
      <c r="L78" s="289">
        <f t="shared" si="31"/>
        <v>-643.41043127463183</v>
      </c>
      <c r="M78" s="289">
        <f t="shared" si="31"/>
        <v>2586.257615907833</v>
      </c>
      <c r="N78" s="289">
        <f t="shared" si="31"/>
        <v>0</v>
      </c>
      <c r="O78" s="289">
        <f t="shared" si="31"/>
        <v>-606.30001967063163</v>
      </c>
      <c r="P78" s="289">
        <f t="shared" si="31"/>
        <v>2437.0883143623432</v>
      </c>
      <c r="Q78" s="289">
        <f t="shared" si="31"/>
        <v>0</v>
      </c>
      <c r="R78" s="289">
        <f t="shared" si="31"/>
        <v>0</v>
      </c>
      <c r="S78" s="289">
        <f t="shared" si="31"/>
        <v>1428.3251249298717</v>
      </c>
      <c r="T78" s="289">
        <f t="shared" si="31"/>
        <v>0</v>
      </c>
      <c r="U78" s="289">
        <f t="shared" si="31"/>
        <v>0</v>
      </c>
      <c r="V78" s="289">
        <f t="shared" si="31"/>
        <v>0</v>
      </c>
      <c r="W78" s="304">
        <f>SUM(B78:V78)</f>
        <v>7263.7255793650147</v>
      </c>
      <c r="X78" s="265"/>
      <c r="Y78" s="265"/>
    </row>
    <row r="79" spans="1:25" s="264" customFormat="1" x14ac:dyDescent="0.25">
      <c r="A79" s="264" t="str">
        <f>A72</f>
        <v>Сумма приростов по табл.</v>
      </c>
      <c r="B79" s="289">
        <f t="shared" ref="B79:V79" si="32">B72/B$74</f>
        <v>-7453.9215686274511</v>
      </c>
      <c r="C79" s="289">
        <f t="shared" si="32"/>
        <v>1273.5486351403306</v>
      </c>
      <c r="D79" s="289">
        <f t="shared" si="32"/>
        <v>0</v>
      </c>
      <c r="E79" s="289">
        <f t="shared" si="32"/>
        <v>0</v>
      </c>
      <c r="F79" s="289">
        <f t="shared" si="32"/>
        <v>3931.777445471665</v>
      </c>
      <c r="G79" s="289">
        <f t="shared" si="32"/>
        <v>3898.8159477649128</v>
      </c>
      <c r="H79" s="289">
        <f t="shared" si="32"/>
        <v>3827.8531053653796</v>
      </c>
      <c r="I79" s="289">
        <f t="shared" si="32"/>
        <v>3070.0048651708316</v>
      </c>
      <c r="J79" s="289">
        <f t="shared" si="32"/>
        <v>3009.8086913439524</v>
      </c>
      <c r="K79" s="289">
        <f t="shared" si="32"/>
        <v>52417.7953171228</v>
      </c>
      <c r="L79" s="289">
        <f t="shared" si="32"/>
        <v>50746.584977669299</v>
      </c>
      <c r="M79" s="289">
        <f t="shared" si="32"/>
        <v>49751.553899675775</v>
      </c>
      <c r="N79" s="289">
        <f t="shared" si="32"/>
        <v>48691.772689742524</v>
      </c>
      <c r="O79" s="289">
        <f t="shared" si="32"/>
        <v>47130.732029096544</v>
      </c>
      <c r="P79" s="289">
        <f t="shared" si="32"/>
        <v>43619.645643125012</v>
      </c>
      <c r="Q79" s="289">
        <f t="shared" si="32"/>
        <v>43342.52591599695</v>
      </c>
      <c r="R79" s="289">
        <f t="shared" si="32"/>
        <v>42492.672466663673</v>
      </c>
      <c r="S79" s="289">
        <f t="shared" si="32"/>
        <v>41659.482810454589</v>
      </c>
      <c r="T79" s="289">
        <f t="shared" si="32"/>
        <v>0</v>
      </c>
      <c r="U79" s="289">
        <f t="shared" si="32"/>
        <v>0</v>
      </c>
      <c r="V79" s="289">
        <f t="shared" si="32"/>
        <v>0</v>
      </c>
      <c r="W79" s="422">
        <f>SUM(B79:V79)</f>
        <v>431410.65287117672</v>
      </c>
      <c r="X79" s="265"/>
      <c r="Y79" s="265"/>
    </row>
    <row r="80" spans="1:25" s="285" customFormat="1" ht="12.75" x14ac:dyDescent="0.2">
      <c r="A80" s="285" t="s">
        <v>349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</row>
    <row r="81" spans="1:26" s="264" customFormat="1" ht="12.75" x14ac:dyDescent="0.2">
      <c r="A81" s="264" t="str">
        <f>A76</f>
        <v>Селекционера</v>
      </c>
      <c r="B81" s="289">
        <f>B76</f>
        <v>-7453.9215686274511</v>
      </c>
      <c r="C81" s="289">
        <f>B81+C76</f>
        <v>-6180.3729334871205</v>
      </c>
      <c r="D81" s="289">
        <f t="shared" ref="D81:V84" si="33">C81+D76</f>
        <v>-6180.3729334871205</v>
      </c>
      <c r="E81" s="289">
        <f t="shared" si="33"/>
        <v>-6180.3729334871205</v>
      </c>
      <c r="F81" s="289">
        <f t="shared" si="33"/>
        <v>-2248.5954880154554</v>
      </c>
      <c r="G81" s="289">
        <f t="shared" si="33"/>
        <v>1650.2204597494574</v>
      </c>
      <c r="H81" s="289">
        <f t="shared" si="33"/>
        <v>5478.073565114837</v>
      </c>
      <c r="I81" s="289">
        <f t="shared" si="33"/>
        <v>9230.8707272377578</v>
      </c>
      <c r="J81" s="289">
        <f t="shared" si="33"/>
        <v>11203.102888899613</v>
      </c>
      <c r="K81" s="289">
        <f t="shared" si="33"/>
        <v>21783.134912389491</v>
      </c>
      <c r="L81" s="289">
        <f t="shared" si="33"/>
        <v>32155.71532757565</v>
      </c>
      <c r="M81" s="289">
        <f t="shared" si="33"/>
        <v>40716.385734865689</v>
      </c>
      <c r="N81" s="289">
        <f t="shared" si="33"/>
        <v>49983.499645525393</v>
      </c>
      <c r="O81" s="289">
        <f t="shared" si="33"/>
        <v>59068.905440289804</v>
      </c>
      <c r="P81" s="289">
        <f t="shared" si="33"/>
        <v>63873.461588814564</v>
      </c>
      <c r="Q81" s="289">
        <f t="shared" si="33"/>
        <v>70065.251005385551</v>
      </c>
      <c r="R81" s="289">
        <f t="shared" si="33"/>
        <v>76135.632786337505</v>
      </c>
      <c r="S81" s="289">
        <f t="shared" si="33"/>
        <v>82086.987473545305</v>
      </c>
      <c r="T81" s="289">
        <f t="shared" si="33"/>
        <v>82086.987473545305</v>
      </c>
      <c r="U81" s="289">
        <f t="shared" si="33"/>
        <v>82086.987473545305</v>
      </c>
      <c r="V81" s="289">
        <f t="shared" si="33"/>
        <v>82086.987473545305</v>
      </c>
      <c r="W81" s="265"/>
      <c r="X81" s="265"/>
      <c r="Y81" s="265"/>
    </row>
    <row r="82" spans="1:26" s="264" customFormat="1" ht="12.75" x14ac:dyDescent="0.2">
      <c r="A82" s="264" t="str">
        <f t="shared" ref="A82:B84" si="34">A77</f>
        <v>Товарное производство</v>
      </c>
      <c r="B82" s="289">
        <f t="shared" si="34"/>
        <v>0</v>
      </c>
      <c r="C82" s="289">
        <f>B82+C77</f>
        <v>0</v>
      </c>
      <c r="D82" s="289">
        <f t="shared" ref="D82:R82" si="35">C82+D77</f>
        <v>0</v>
      </c>
      <c r="E82" s="289">
        <f t="shared" si="35"/>
        <v>0</v>
      </c>
      <c r="F82" s="289">
        <f t="shared" si="35"/>
        <v>0</v>
      </c>
      <c r="G82" s="289">
        <f t="shared" si="35"/>
        <v>0</v>
      </c>
      <c r="H82" s="289">
        <f t="shared" si="35"/>
        <v>0</v>
      </c>
      <c r="I82" s="289">
        <f t="shared" si="35"/>
        <v>0</v>
      </c>
      <c r="J82" s="289">
        <f t="shared" si="35"/>
        <v>0</v>
      </c>
      <c r="K82" s="289">
        <f t="shared" si="35"/>
        <v>41837.763293632917</v>
      </c>
      <c r="L82" s="289">
        <f t="shared" si="35"/>
        <v>82855.178287390692</v>
      </c>
      <c r="M82" s="289">
        <f t="shared" si="35"/>
        <v>123068.33024205518</v>
      </c>
      <c r="N82" s="289">
        <f t="shared" si="35"/>
        <v>162492.989021138</v>
      </c>
      <c r="O82" s="289">
        <f t="shared" si="35"/>
        <v>201144.61527514076</v>
      </c>
      <c r="P82" s="289">
        <f t="shared" si="35"/>
        <v>239038.36650455525</v>
      </c>
      <c r="Q82" s="289">
        <f t="shared" si="35"/>
        <v>276189.10300398117</v>
      </c>
      <c r="R82" s="289">
        <f t="shared" si="35"/>
        <v>312611.39368969289</v>
      </c>
      <c r="S82" s="289">
        <f t="shared" si="33"/>
        <v>348319.52181293967</v>
      </c>
      <c r="T82" s="289">
        <f t="shared" si="33"/>
        <v>348319.52181293967</v>
      </c>
      <c r="U82" s="289">
        <f t="shared" si="33"/>
        <v>348319.52181293967</v>
      </c>
      <c r="V82" s="289">
        <f t="shared" si="33"/>
        <v>348319.52181293967</v>
      </c>
      <c r="W82" s="265"/>
      <c r="X82" s="265"/>
      <c r="Y82" s="265"/>
    </row>
    <row r="83" spans="1:26" s="264" customFormat="1" ht="12.75" x14ac:dyDescent="0.2">
      <c r="A83" s="264" t="str">
        <f t="shared" si="34"/>
        <v>Семеноводство</v>
      </c>
      <c r="B83" s="289">
        <f t="shared" si="34"/>
        <v>0</v>
      </c>
      <c r="C83" s="289">
        <f>B83+C78</f>
        <v>0</v>
      </c>
      <c r="D83" s="289">
        <f t="shared" si="33"/>
        <v>0</v>
      </c>
      <c r="E83" s="289">
        <f t="shared" si="33"/>
        <v>0</v>
      </c>
      <c r="F83" s="289">
        <f t="shared" si="33"/>
        <v>0</v>
      </c>
      <c r="G83" s="289">
        <f t="shared" si="33"/>
        <v>0</v>
      </c>
      <c r="H83" s="289">
        <f t="shared" si="33"/>
        <v>0</v>
      </c>
      <c r="I83" s="289">
        <f t="shared" si="33"/>
        <v>-682.79229695208937</v>
      </c>
      <c r="J83" s="289">
        <f t="shared" si="33"/>
        <v>2061.7649751102299</v>
      </c>
      <c r="K83" s="289">
        <f t="shared" si="33"/>
        <v>2061.7649751102299</v>
      </c>
      <c r="L83" s="289">
        <f t="shared" si="33"/>
        <v>1418.3545438355982</v>
      </c>
      <c r="M83" s="289">
        <f t="shared" si="33"/>
        <v>4004.6121597434312</v>
      </c>
      <c r="N83" s="289">
        <f t="shared" si="33"/>
        <v>4004.6121597434312</v>
      </c>
      <c r="O83" s="289">
        <f t="shared" si="33"/>
        <v>3398.3121400727996</v>
      </c>
      <c r="P83" s="289">
        <f t="shared" si="33"/>
        <v>5835.4004544351428</v>
      </c>
      <c r="Q83" s="289">
        <f t="shared" si="33"/>
        <v>5835.4004544351428</v>
      </c>
      <c r="R83" s="289">
        <f t="shared" si="33"/>
        <v>5835.4004544351428</v>
      </c>
      <c r="S83" s="289">
        <f t="shared" si="33"/>
        <v>7263.7255793650147</v>
      </c>
      <c r="T83" s="289">
        <f t="shared" si="33"/>
        <v>7263.7255793650147</v>
      </c>
      <c r="U83" s="289">
        <f t="shared" si="33"/>
        <v>7263.7255793650147</v>
      </c>
      <c r="V83" s="289">
        <f t="shared" si="33"/>
        <v>7263.7255793650147</v>
      </c>
      <c r="W83" s="265"/>
      <c r="X83" s="265"/>
      <c r="Y83" s="265"/>
    </row>
    <row r="84" spans="1:26" s="264" customFormat="1" ht="12.75" x14ac:dyDescent="0.2">
      <c r="A84" s="264" t="str">
        <f t="shared" si="34"/>
        <v>Сумма приростов по табл.</v>
      </c>
      <c r="B84" s="289">
        <f t="shared" si="34"/>
        <v>-7453.9215686274511</v>
      </c>
      <c r="C84" s="289">
        <f>B84+C79</f>
        <v>-6180.3729334871205</v>
      </c>
      <c r="D84" s="289">
        <f t="shared" si="33"/>
        <v>-6180.3729334871205</v>
      </c>
      <c r="E84" s="289">
        <f t="shared" si="33"/>
        <v>-6180.3729334871205</v>
      </c>
      <c r="F84" s="289">
        <f t="shared" si="33"/>
        <v>-2248.5954880154554</v>
      </c>
      <c r="G84" s="289">
        <f t="shared" si="33"/>
        <v>1650.2204597494574</v>
      </c>
      <c r="H84" s="289">
        <f t="shared" si="33"/>
        <v>5478.073565114837</v>
      </c>
      <c r="I84" s="289">
        <f t="shared" si="33"/>
        <v>8548.0784302856682</v>
      </c>
      <c r="J84" s="289">
        <f t="shared" si="33"/>
        <v>11557.887121629621</v>
      </c>
      <c r="K84" s="289">
        <f t="shared" si="33"/>
        <v>63975.682438752425</v>
      </c>
      <c r="L84" s="289">
        <f t="shared" si="33"/>
        <v>114722.26741642173</v>
      </c>
      <c r="M84" s="289">
        <f t="shared" si="33"/>
        <v>164473.82131609751</v>
      </c>
      <c r="N84" s="289">
        <f t="shared" si="33"/>
        <v>213165.59400584004</v>
      </c>
      <c r="O84" s="289">
        <f t="shared" si="33"/>
        <v>260296.32603493659</v>
      </c>
      <c r="P84" s="289">
        <f t="shared" si="33"/>
        <v>303915.97167806159</v>
      </c>
      <c r="Q84" s="289">
        <f t="shared" si="33"/>
        <v>347258.49759405851</v>
      </c>
      <c r="R84" s="289">
        <f t="shared" si="33"/>
        <v>389751.17006072216</v>
      </c>
      <c r="S84" s="289">
        <f t="shared" si="33"/>
        <v>431410.65287117672</v>
      </c>
      <c r="T84" s="289">
        <f t="shared" si="33"/>
        <v>431410.65287117672</v>
      </c>
      <c r="U84" s="289">
        <f t="shared" si="33"/>
        <v>431410.65287117672</v>
      </c>
      <c r="V84" s="289">
        <f t="shared" si="33"/>
        <v>431410.65287117672</v>
      </c>
      <c r="W84" s="265"/>
      <c r="X84" s="265"/>
      <c r="Y84" s="265"/>
    </row>
    <row r="85" spans="1:26" s="188" customFormat="1" x14ac:dyDescent="0.25">
      <c r="A85" s="188" t="s">
        <v>351</v>
      </c>
      <c r="B85" s="47"/>
      <c r="C85" s="47"/>
      <c r="D85" s="47"/>
      <c r="E85" s="47"/>
      <c r="F85" s="198"/>
      <c r="I85" s="198"/>
      <c r="N85" s="198"/>
    </row>
    <row r="86" spans="1:26" x14ac:dyDescent="0.25">
      <c r="A86" t="str">
        <f>A64</f>
        <v>Селекционера</v>
      </c>
      <c r="B86" s="64">
        <f>IF(AND(B81&lt;0,C81&gt;0),B$2+(-B81/(-B81+C81)),0)</f>
        <v>0</v>
      </c>
      <c r="C86" s="64">
        <f t="shared" ref="C86:S89" si="36">IF(AND(C81&lt;0,D81&gt;0),C$2+(-C81/(-C81+D81)),0)</f>
        <v>0</v>
      </c>
      <c r="D86" s="64">
        <f t="shared" si="36"/>
        <v>0</v>
      </c>
      <c r="E86" s="64">
        <f t="shared" si="36"/>
        <v>0</v>
      </c>
      <c r="F86" s="64">
        <f t="shared" si="36"/>
        <v>5.5767380451248325</v>
      </c>
      <c r="G86" s="64">
        <f t="shared" si="36"/>
        <v>0</v>
      </c>
      <c r="H86" s="64">
        <f t="shared" si="36"/>
        <v>0</v>
      </c>
      <c r="I86" s="64">
        <f t="shared" si="36"/>
        <v>0</v>
      </c>
      <c r="J86" s="64">
        <f t="shared" si="36"/>
        <v>0</v>
      </c>
      <c r="K86" s="64">
        <f t="shared" si="36"/>
        <v>0</v>
      </c>
      <c r="L86" s="64">
        <f t="shared" si="36"/>
        <v>0</v>
      </c>
      <c r="M86" s="64">
        <f t="shared" si="36"/>
        <v>0</v>
      </c>
      <c r="N86" s="64">
        <f t="shared" si="36"/>
        <v>0</v>
      </c>
      <c r="O86" s="64">
        <f t="shared" si="36"/>
        <v>0</v>
      </c>
      <c r="P86" s="64">
        <f t="shared" si="36"/>
        <v>0</v>
      </c>
      <c r="Q86" s="64">
        <f t="shared" si="36"/>
        <v>0</v>
      </c>
      <c r="R86" s="64">
        <f t="shared" si="36"/>
        <v>0</v>
      </c>
      <c r="S86" s="64">
        <f t="shared" si="36"/>
        <v>0</v>
      </c>
      <c r="T86" s="64">
        <f t="shared" ref="T86:V89" si="37">IF(AND(T81&lt;0,V81&gt;0),T$2+(-T81/(-T81+V81)),0)</f>
        <v>0</v>
      </c>
      <c r="U86" s="64">
        <f t="shared" si="37"/>
        <v>0</v>
      </c>
      <c r="V86" s="64">
        <f t="shared" si="37"/>
        <v>0</v>
      </c>
      <c r="W86" s="279" t="s">
        <v>346</v>
      </c>
      <c r="X86" s="280">
        <f>MAX(B86:V86)</f>
        <v>5.5767380451248325</v>
      </c>
      <c r="Y86" s="588" t="s">
        <v>370</v>
      </c>
      <c r="Z86" s="588"/>
    </row>
    <row r="87" spans="1:26" x14ac:dyDescent="0.25">
      <c r="A87" t="str">
        <f>A65</f>
        <v>Товарное производство</v>
      </c>
      <c r="B87" s="64">
        <f>IF(AND(B82&lt;0,C82&gt;0),B$2+(-B82/(-B82+C82)),0)</f>
        <v>0</v>
      </c>
      <c r="C87" s="64">
        <f t="shared" ref="C87:Q87" si="38">IF(AND(C82&lt;0,D82&gt;0),C$2+(-C82/(-C82+D82)),0)</f>
        <v>0</v>
      </c>
      <c r="D87" s="64">
        <f t="shared" si="38"/>
        <v>0</v>
      </c>
      <c r="E87" s="64">
        <f t="shared" si="38"/>
        <v>0</v>
      </c>
      <c r="F87" s="64">
        <f t="shared" si="38"/>
        <v>0</v>
      </c>
      <c r="G87" s="64">
        <f t="shared" si="38"/>
        <v>0</v>
      </c>
      <c r="H87" s="64">
        <f t="shared" si="38"/>
        <v>0</v>
      </c>
      <c r="I87" s="64">
        <f t="shared" si="38"/>
        <v>0</v>
      </c>
      <c r="J87" s="64">
        <f t="shared" si="38"/>
        <v>0</v>
      </c>
      <c r="K87" s="64">
        <f t="shared" si="38"/>
        <v>0</v>
      </c>
      <c r="L87" s="64">
        <f t="shared" si="38"/>
        <v>0</v>
      </c>
      <c r="M87" s="64">
        <f t="shared" si="38"/>
        <v>0</v>
      </c>
      <c r="N87" s="64">
        <f t="shared" si="38"/>
        <v>0</v>
      </c>
      <c r="O87" s="64">
        <f t="shared" si="38"/>
        <v>0</v>
      </c>
      <c r="P87" s="64">
        <f t="shared" si="38"/>
        <v>0</v>
      </c>
      <c r="Q87" s="64">
        <f t="shared" si="38"/>
        <v>0</v>
      </c>
      <c r="R87" s="64">
        <f t="shared" si="36"/>
        <v>0</v>
      </c>
      <c r="S87" s="64">
        <f t="shared" si="36"/>
        <v>0</v>
      </c>
      <c r="T87" s="64">
        <f t="shared" si="37"/>
        <v>0</v>
      </c>
      <c r="U87" s="64">
        <f t="shared" si="37"/>
        <v>0</v>
      </c>
      <c r="V87" s="64">
        <f t="shared" si="37"/>
        <v>0</v>
      </c>
      <c r="W87" s="279" t="s">
        <v>346</v>
      </c>
      <c r="X87" s="280">
        <f>MAX(B87:V87)</f>
        <v>0</v>
      </c>
      <c r="Y87" s="588"/>
      <c r="Z87" s="588"/>
    </row>
    <row r="88" spans="1:26" x14ac:dyDescent="0.25">
      <c r="A88" t="str">
        <f>A66</f>
        <v>Семеноводство</v>
      </c>
      <c r="B88" s="64">
        <f>IF(AND(B83&lt;0,C83&gt;0),B$2+(-B83/(-B83+C83)),0)</f>
        <v>0</v>
      </c>
      <c r="C88" s="64">
        <f t="shared" si="36"/>
        <v>0</v>
      </c>
      <c r="D88" s="64">
        <f t="shared" si="36"/>
        <v>0</v>
      </c>
      <c r="E88" s="64">
        <f t="shared" si="36"/>
        <v>0</v>
      </c>
      <c r="F88" s="64">
        <f t="shared" si="36"/>
        <v>0</v>
      </c>
      <c r="G88" s="64">
        <f t="shared" si="36"/>
        <v>0</v>
      </c>
      <c r="H88" s="64">
        <f t="shared" si="36"/>
        <v>0</v>
      </c>
      <c r="I88" s="64">
        <f t="shared" si="36"/>
        <v>8.2487804878048774</v>
      </c>
      <c r="J88" s="64">
        <f t="shared" si="36"/>
        <v>0</v>
      </c>
      <c r="K88" s="64">
        <f t="shared" si="36"/>
        <v>0</v>
      </c>
      <c r="L88" s="64">
        <f t="shared" si="36"/>
        <v>0</v>
      </c>
      <c r="M88" s="64">
        <f t="shared" si="36"/>
        <v>0</v>
      </c>
      <c r="N88" s="64">
        <f t="shared" si="36"/>
        <v>0</v>
      </c>
      <c r="O88" s="64">
        <f t="shared" si="36"/>
        <v>0</v>
      </c>
      <c r="P88" s="64">
        <f t="shared" si="36"/>
        <v>0</v>
      </c>
      <c r="Q88" s="64">
        <f t="shared" si="36"/>
        <v>0</v>
      </c>
      <c r="R88" s="64">
        <f t="shared" si="36"/>
        <v>0</v>
      </c>
      <c r="S88" s="64">
        <f t="shared" si="36"/>
        <v>0</v>
      </c>
      <c r="T88" s="64">
        <f t="shared" si="37"/>
        <v>0</v>
      </c>
      <c r="U88" s="64">
        <f t="shared" si="37"/>
        <v>0</v>
      </c>
      <c r="V88" s="64">
        <f t="shared" si="37"/>
        <v>0</v>
      </c>
      <c r="W88" s="279" t="s">
        <v>346</v>
      </c>
      <c r="X88" s="290">
        <f>MAX(B88:V88)</f>
        <v>8.2487804878048774</v>
      </c>
      <c r="Y88" s="588"/>
      <c r="Z88" s="588"/>
    </row>
    <row r="89" spans="1:26" x14ac:dyDescent="0.25">
      <c r="A89" t="s">
        <v>327</v>
      </c>
      <c r="B89" s="64">
        <f>IF(AND(B84&lt;0,C84&gt;0),B$2+(-B84/(-B84+C84)),0)</f>
        <v>0</v>
      </c>
      <c r="C89" s="64">
        <f t="shared" si="36"/>
        <v>0</v>
      </c>
      <c r="D89" s="64">
        <f t="shared" si="36"/>
        <v>0</v>
      </c>
      <c r="E89" s="64">
        <f t="shared" si="36"/>
        <v>0</v>
      </c>
      <c r="F89" s="64">
        <f t="shared" si="36"/>
        <v>5.5767380451248325</v>
      </c>
      <c r="G89" s="64">
        <f t="shared" si="36"/>
        <v>0</v>
      </c>
      <c r="H89" s="64">
        <f t="shared" si="36"/>
        <v>0</v>
      </c>
      <c r="I89" s="64">
        <f t="shared" si="36"/>
        <v>0</v>
      </c>
      <c r="J89" s="64">
        <f t="shared" si="36"/>
        <v>0</v>
      </c>
      <c r="K89" s="64">
        <f t="shared" si="36"/>
        <v>0</v>
      </c>
      <c r="L89" s="64">
        <f t="shared" si="36"/>
        <v>0</v>
      </c>
      <c r="M89" s="64">
        <f t="shared" si="36"/>
        <v>0</v>
      </c>
      <c r="N89" s="64">
        <f t="shared" si="36"/>
        <v>0</v>
      </c>
      <c r="O89" s="64">
        <f t="shared" si="36"/>
        <v>0</v>
      </c>
      <c r="P89" s="64">
        <f t="shared" si="36"/>
        <v>0</v>
      </c>
      <c r="Q89" s="64">
        <f t="shared" si="36"/>
        <v>0</v>
      </c>
      <c r="R89" s="64">
        <f t="shared" si="36"/>
        <v>0</v>
      </c>
      <c r="S89" s="64">
        <f t="shared" si="36"/>
        <v>0</v>
      </c>
      <c r="T89" s="64">
        <f t="shared" si="37"/>
        <v>0</v>
      </c>
      <c r="U89" s="64">
        <f t="shared" si="37"/>
        <v>0</v>
      </c>
      <c r="V89" s="64">
        <f t="shared" si="37"/>
        <v>0</v>
      </c>
      <c r="W89" s="279" t="s">
        <v>346</v>
      </c>
      <c r="X89" s="280">
        <f>MAX(B89:V89)</f>
        <v>5.5767380451248325</v>
      </c>
      <c r="Y89" s="588"/>
      <c r="Z89" s="588"/>
    </row>
    <row r="90" spans="1:26" s="47" customFormat="1" ht="15.75" thickBot="1" x14ac:dyDescent="0.3">
      <c r="A90" s="47" t="s">
        <v>352</v>
      </c>
      <c r="F90" s="145"/>
      <c r="I90" s="145"/>
      <c r="N90" s="145"/>
    </row>
    <row r="91" spans="1:26" ht="15.75" thickBot="1" x14ac:dyDescent="0.3">
      <c r="A91" t="s">
        <v>320</v>
      </c>
      <c r="B91" s="589" t="s">
        <v>353</v>
      </c>
      <c r="C91" s="589"/>
      <c r="D91" s="589"/>
      <c r="E91" s="589"/>
      <c r="F91" s="589"/>
      <c r="G91" s="589"/>
      <c r="H91" s="589"/>
      <c r="I91" s="589"/>
      <c r="J91" s="589"/>
      <c r="K91" s="589"/>
      <c r="L91" s="589"/>
      <c r="M91" s="589"/>
      <c r="N91" s="590" t="s">
        <v>354</v>
      </c>
      <c r="O91" s="590"/>
      <c r="P91" s="291" t="s">
        <v>355</v>
      </c>
      <c r="Q91" s="291"/>
      <c r="R91" s="591" t="s">
        <v>356</v>
      </c>
      <c r="S91" s="591"/>
      <c r="T91" s="583" t="s">
        <v>283</v>
      </c>
      <c r="U91" s="584"/>
      <c r="V91" s="584"/>
    </row>
    <row r="92" spans="1:26" ht="15.75" thickBot="1" x14ac:dyDescent="0.3">
      <c r="A92" t="s">
        <v>336</v>
      </c>
      <c r="B92" s="583" t="s">
        <v>363</v>
      </c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5"/>
    </row>
    <row r="93" spans="1:26" x14ac:dyDescent="0.25">
      <c r="A93" t="s">
        <v>322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T93" s="577" t="s">
        <v>365</v>
      </c>
      <c r="U93" s="577"/>
      <c r="V93" s="577"/>
    </row>
    <row r="94" spans="1:26" x14ac:dyDescent="0.25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</row>
    <row r="95" spans="1:26" ht="14.45" customHeight="1" thickBot="1" x14ac:dyDescent="0.3">
      <c r="A95" s="47" t="s">
        <v>357</v>
      </c>
      <c r="B95" s="299"/>
      <c r="C95" s="299"/>
      <c r="D95" s="299"/>
      <c r="E95" s="299"/>
      <c r="F95" s="299"/>
      <c r="G95" s="299"/>
      <c r="H95" s="299"/>
      <c r="I95" s="299"/>
      <c r="J95" s="299"/>
      <c r="K95" s="94"/>
      <c r="L95" s="297"/>
      <c r="M95" s="297"/>
      <c r="N95" s="297"/>
      <c r="O95" s="297"/>
      <c r="P95" s="298"/>
      <c r="Q95" s="298"/>
      <c r="R95" s="298"/>
      <c r="S95" s="298"/>
      <c r="T95" s="298"/>
      <c r="U95" s="298"/>
      <c r="V95" s="298"/>
    </row>
    <row r="96" spans="1:26" s="292" customFormat="1" ht="48.75" thickBot="1" x14ac:dyDescent="0.3">
      <c r="A96" s="292" t="s">
        <v>320</v>
      </c>
      <c r="B96" s="293" t="s">
        <v>358</v>
      </c>
      <c r="C96" s="294" t="s">
        <v>97</v>
      </c>
      <c r="D96" s="578" t="s">
        <v>359</v>
      </c>
      <c r="E96" s="578"/>
      <c r="F96" s="296" t="s">
        <v>360</v>
      </c>
      <c r="G96" s="579" t="s">
        <v>361</v>
      </c>
      <c r="H96" s="579"/>
      <c r="I96" s="580" t="s">
        <v>362</v>
      </c>
      <c r="J96" s="580"/>
      <c r="K96" s="581" t="s">
        <v>283</v>
      </c>
      <c r="L96" s="582"/>
      <c r="M96" s="582"/>
      <c r="N96" s="582"/>
      <c r="O96" s="582"/>
      <c r="P96" s="582"/>
      <c r="Q96" s="582"/>
      <c r="R96" s="582"/>
      <c r="S96" s="582"/>
      <c r="T96" s="582"/>
      <c r="U96" s="582"/>
      <c r="V96" s="582"/>
      <c r="W96" s="295"/>
      <c r="X96" s="295"/>
      <c r="Y96" s="295"/>
    </row>
    <row r="97" spans="1:25" ht="15.75" thickBot="1" x14ac:dyDescent="0.3">
      <c r="A97" t="str">
        <f>A92</f>
        <v>Товарное овощеводство</v>
      </c>
      <c r="B97" s="583" t="s">
        <v>363</v>
      </c>
      <c r="C97" s="584"/>
      <c r="D97" s="584"/>
      <c r="E97" s="584"/>
      <c r="F97" s="584"/>
      <c r="G97" s="584"/>
      <c r="H97" s="584"/>
      <c r="I97" s="584"/>
      <c r="J97" s="585"/>
      <c r="K97" s="586" t="s">
        <v>364</v>
      </c>
      <c r="L97" s="587"/>
      <c r="M97" s="587"/>
      <c r="N97" s="587"/>
      <c r="O97" s="587"/>
      <c r="P97" s="587"/>
      <c r="Q97" s="587"/>
      <c r="R97" s="587"/>
      <c r="S97" s="587"/>
      <c r="T97" s="587"/>
      <c r="U97" s="587"/>
      <c r="V97" s="587"/>
    </row>
    <row r="98" spans="1:25" x14ac:dyDescent="0.25">
      <c r="A98" t="s">
        <v>322</v>
      </c>
      <c r="K98" s="577" t="s">
        <v>365</v>
      </c>
      <c r="L98" s="577"/>
      <c r="M98" s="577"/>
      <c r="N98" s="577"/>
      <c r="O98" s="577"/>
      <c r="P98" s="577"/>
      <c r="Q98" s="577"/>
      <c r="R98" s="577"/>
      <c r="S98" s="577"/>
      <c r="T98" s="577"/>
      <c r="U98" s="577"/>
      <c r="V98" s="577"/>
    </row>
    <row r="99" spans="1:25" s="94" customFormat="1" x14ac:dyDescent="0.25">
      <c r="W99" s="118"/>
      <c r="X99" s="118"/>
      <c r="Y99" s="118"/>
    </row>
    <row r="100" spans="1:25" s="94" customFormat="1" x14ac:dyDescent="0.25">
      <c r="A100" s="301" t="s">
        <v>369</v>
      </c>
      <c r="B100" s="302">
        <f>B53</f>
        <v>-12000</v>
      </c>
      <c r="C100" s="302">
        <f t="shared" ref="C100:V100" si="39">C53</f>
        <v>-15072</v>
      </c>
      <c r="D100" s="302">
        <f t="shared" si="39"/>
        <v>-19469</v>
      </c>
      <c r="E100" s="302">
        <f t="shared" si="39"/>
        <v>-23866</v>
      </c>
      <c r="F100" s="302">
        <f t="shared" si="39"/>
        <v>-23922</v>
      </c>
      <c r="G100" s="302">
        <f t="shared" si="39"/>
        <v>-23928.3</v>
      </c>
      <c r="H100" s="302">
        <f t="shared" si="39"/>
        <v>-23928.3</v>
      </c>
      <c r="I100" s="302">
        <f t="shared" si="39"/>
        <v>-23928.3</v>
      </c>
      <c r="J100" s="302">
        <f t="shared" si="39"/>
        <v>-25968.3</v>
      </c>
      <c r="K100" s="302">
        <f t="shared" si="39"/>
        <v>-17468.3</v>
      </c>
      <c r="L100" s="302">
        <f t="shared" si="39"/>
        <v>-8968.2999999999993</v>
      </c>
      <c r="M100" s="302">
        <f t="shared" si="39"/>
        <v>-2508.2999999999993</v>
      </c>
      <c r="N100" s="302">
        <f t="shared" si="39"/>
        <v>5991.7000000000007</v>
      </c>
      <c r="O100" s="302">
        <f t="shared" si="39"/>
        <v>14491.7</v>
      </c>
      <c r="P100" s="302">
        <f t="shared" si="39"/>
        <v>20951.7</v>
      </c>
      <c r="Q100" s="302">
        <f t="shared" si="39"/>
        <v>29451.7</v>
      </c>
      <c r="R100" s="302">
        <f t="shared" si="39"/>
        <v>37951.699999999997</v>
      </c>
      <c r="S100" s="302">
        <f t="shared" si="39"/>
        <v>44411.7</v>
      </c>
      <c r="T100" s="302">
        <f t="shared" si="39"/>
        <v>52911.7</v>
      </c>
      <c r="U100" s="302"/>
      <c r="V100" s="302">
        <f t="shared" si="39"/>
        <v>69911.7</v>
      </c>
      <c r="W100" s="118"/>
      <c r="X100" s="118"/>
      <c r="Y100" s="118"/>
    </row>
    <row r="101" spans="1:25" s="94" customFormat="1" x14ac:dyDescent="0.25">
      <c r="A101" s="300" t="s">
        <v>368</v>
      </c>
      <c r="B101" s="303">
        <f>B24</f>
        <v>-4397</v>
      </c>
      <c r="C101" s="303">
        <f t="shared" ref="C101:V101" si="40">C24</f>
        <v>-8794</v>
      </c>
      <c r="D101" s="303">
        <f t="shared" si="40"/>
        <v>-13191</v>
      </c>
      <c r="E101" s="303">
        <f t="shared" si="40"/>
        <v>-17588</v>
      </c>
      <c r="F101" s="303">
        <f t="shared" si="40"/>
        <v>-21985</v>
      </c>
      <c r="G101" s="303">
        <f t="shared" si="40"/>
        <v>-26382</v>
      </c>
      <c r="H101" s="303">
        <f t="shared" si="40"/>
        <v>-30779</v>
      </c>
      <c r="I101" s="303">
        <f t="shared" si="40"/>
        <v>-35176</v>
      </c>
      <c r="J101" s="303">
        <f t="shared" si="40"/>
        <v>-39573</v>
      </c>
      <c r="K101" s="303">
        <f t="shared" si="40"/>
        <v>-43970</v>
      </c>
      <c r="L101" s="303">
        <f t="shared" si="40"/>
        <v>-48367</v>
      </c>
      <c r="M101" s="303">
        <f t="shared" si="40"/>
        <v>-52764</v>
      </c>
      <c r="N101" s="303">
        <f t="shared" si="40"/>
        <v>-56252</v>
      </c>
      <c r="O101" s="303">
        <f t="shared" si="40"/>
        <v>-59740</v>
      </c>
      <c r="P101" s="303">
        <f t="shared" si="40"/>
        <v>-59746.3</v>
      </c>
      <c r="Q101" s="303">
        <f t="shared" si="40"/>
        <v>-59746.3</v>
      </c>
      <c r="R101" s="303">
        <f t="shared" si="40"/>
        <v>-59746.3</v>
      </c>
      <c r="S101" s="303">
        <f t="shared" si="40"/>
        <v>-61786.3</v>
      </c>
      <c r="T101" s="303">
        <f t="shared" si="40"/>
        <v>-53286.3</v>
      </c>
      <c r="U101" s="303"/>
      <c r="V101" s="303">
        <f t="shared" si="40"/>
        <v>-36286.300000000003</v>
      </c>
      <c r="W101" s="118"/>
      <c r="X101" s="118"/>
      <c r="Y101" s="118"/>
    </row>
    <row r="102" spans="1:25" s="94" customFormat="1" x14ac:dyDescent="0.25">
      <c r="W102" s="118"/>
      <c r="X102" s="118"/>
      <c r="Y102" s="118"/>
    </row>
    <row r="103" spans="1:25" s="94" customFormat="1" x14ac:dyDescent="0.25">
      <c r="A103" s="222" t="s">
        <v>367</v>
      </c>
      <c r="B103" s="118">
        <f>8500+8500+(8500-2000)</f>
        <v>23500</v>
      </c>
      <c r="W103" s="118"/>
      <c r="X103" s="118"/>
      <c r="Y103" s="118"/>
    </row>
    <row r="104" spans="1:25" s="94" customFormat="1" x14ac:dyDescent="0.25">
      <c r="A104" s="405" t="s">
        <v>406</v>
      </c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08"/>
      <c r="X104" s="408"/>
    </row>
    <row r="105" spans="1:25" s="94" customFormat="1" x14ac:dyDescent="0.25">
      <c r="A105" s="405" t="s">
        <v>407</v>
      </c>
      <c r="B105" s="408">
        <v>0</v>
      </c>
      <c r="C105" s="408">
        <f>B105+1</f>
        <v>1</v>
      </c>
      <c r="D105" s="408">
        <f t="shared" ref="D105:W105" si="41">C105+1</f>
        <v>2</v>
      </c>
      <c r="E105" s="408">
        <f t="shared" si="41"/>
        <v>3</v>
      </c>
      <c r="F105" s="408">
        <f t="shared" si="41"/>
        <v>4</v>
      </c>
      <c r="G105" s="408">
        <f t="shared" si="41"/>
        <v>5</v>
      </c>
      <c r="H105" s="408">
        <f t="shared" si="41"/>
        <v>6</v>
      </c>
      <c r="I105" s="408">
        <f t="shared" si="41"/>
        <v>7</v>
      </c>
      <c r="J105" s="408">
        <f t="shared" si="41"/>
        <v>8</v>
      </c>
      <c r="K105" s="408">
        <f t="shared" si="41"/>
        <v>9</v>
      </c>
      <c r="L105" s="408">
        <f t="shared" si="41"/>
        <v>10</v>
      </c>
      <c r="M105" s="408">
        <f t="shared" si="41"/>
        <v>11</v>
      </c>
      <c r="N105" s="408">
        <f t="shared" si="41"/>
        <v>12</v>
      </c>
      <c r="O105" s="408">
        <f t="shared" si="41"/>
        <v>13</v>
      </c>
      <c r="P105" s="408">
        <f t="shared" si="41"/>
        <v>14</v>
      </c>
      <c r="Q105" s="408">
        <f t="shared" si="41"/>
        <v>15</v>
      </c>
      <c r="R105" s="408">
        <f t="shared" si="41"/>
        <v>16</v>
      </c>
      <c r="S105" s="408">
        <f t="shared" si="41"/>
        <v>17</v>
      </c>
      <c r="T105" s="408">
        <f t="shared" si="41"/>
        <v>18</v>
      </c>
      <c r="U105" s="408">
        <f t="shared" si="41"/>
        <v>19</v>
      </c>
      <c r="V105" s="408">
        <f t="shared" si="41"/>
        <v>20</v>
      </c>
      <c r="W105" s="408">
        <f t="shared" si="41"/>
        <v>21</v>
      </c>
      <c r="X105" s="408"/>
    </row>
    <row r="106" spans="1:25" s="94" customFormat="1" x14ac:dyDescent="0.25">
      <c r="A106" s="405"/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08"/>
      <c r="X106" s="408"/>
    </row>
    <row r="107" spans="1:25" s="410" customFormat="1" ht="12" x14ac:dyDescent="0.2">
      <c r="A107" s="410" t="s">
        <v>408</v>
      </c>
      <c r="B107" s="412">
        <f>B35</f>
        <v>947000</v>
      </c>
      <c r="C107" s="412">
        <f t="shared" ref="C107:V107" si="42">C35</f>
        <v>938072</v>
      </c>
      <c r="D107" s="412">
        <f t="shared" si="42"/>
        <v>939397</v>
      </c>
      <c r="E107" s="412">
        <f t="shared" si="42"/>
        <v>939397</v>
      </c>
      <c r="F107" s="412">
        <f t="shared" si="42"/>
        <v>935056</v>
      </c>
      <c r="G107" s="412">
        <f t="shared" si="42"/>
        <v>935006.3</v>
      </c>
      <c r="H107" s="412">
        <f t="shared" si="42"/>
        <v>935000</v>
      </c>
      <c r="I107" s="412">
        <f t="shared" si="42"/>
        <v>935800</v>
      </c>
      <c r="J107" s="412">
        <f t="shared" si="42"/>
        <v>937840</v>
      </c>
      <c r="K107" s="412">
        <f t="shared" si="42"/>
        <v>884000</v>
      </c>
      <c r="L107" s="412">
        <f t="shared" si="42"/>
        <v>884800</v>
      </c>
      <c r="M107" s="412">
        <f t="shared" si="42"/>
        <v>886840</v>
      </c>
      <c r="N107" s="412">
        <f t="shared" si="42"/>
        <v>884000</v>
      </c>
      <c r="O107" s="412">
        <f t="shared" si="42"/>
        <v>884800</v>
      </c>
      <c r="P107" s="412">
        <f t="shared" si="42"/>
        <v>886840</v>
      </c>
      <c r="Q107" s="412">
        <f t="shared" si="42"/>
        <v>884000</v>
      </c>
      <c r="R107" s="412">
        <f t="shared" si="42"/>
        <v>884800</v>
      </c>
      <c r="S107" s="412">
        <f t="shared" si="42"/>
        <v>886840</v>
      </c>
      <c r="T107" s="412">
        <f t="shared" si="42"/>
        <v>884000</v>
      </c>
      <c r="U107" s="412">
        <f t="shared" si="42"/>
        <v>884000</v>
      </c>
      <c r="V107" s="412">
        <f t="shared" si="42"/>
        <v>884000</v>
      </c>
      <c r="W107" s="414" t="s">
        <v>82</v>
      </c>
      <c r="X107" s="413">
        <f>SUM(B107:W107)</f>
        <v>19061488.300000001</v>
      </c>
    </row>
    <row r="108" spans="1:25" s="410" customFormat="1" ht="12" x14ac:dyDescent="0.2">
      <c r="A108" s="410" t="s">
        <v>409</v>
      </c>
      <c r="C108" s="412">
        <f>B40</f>
        <v>2805000</v>
      </c>
      <c r="D108" s="412">
        <f t="shared" ref="D108:V108" si="43">C40</f>
        <v>2805000</v>
      </c>
      <c r="E108" s="412">
        <f t="shared" si="43"/>
        <v>2805000</v>
      </c>
      <c r="F108" s="412">
        <f t="shared" si="43"/>
        <v>2805000</v>
      </c>
      <c r="G108" s="412">
        <f t="shared" si="43"/>
        <v>2805000</v>
      </c>
      <c r="H108" s="412">
        <f t="shared" si="43"/>
        <v>2805000</v>
      </c>
      <c r="I108" s="412">
        <f t="shared" si="43"/>
        <v>2805000</v>
      </c>
      <c r="J108" s="412">
        <f t="shared" si="43"/>
        <v>2805000</v>
      </c>
      <c r="K108" s="412">
        <f t="shared" si="43"/>
        <v>2809080</v>
      </c>
      <c r="L108" s="412">
        <f t="shared" si="43"/>
        <v>2813500</v>
      </c>
      <c r="M108" s="412">
        <f t="shared" si="43"/>
        <v>2813500</v>
      </c>
      <c r="N108" s="412">
        <f t="shared" si="43"/>
        <v>2817580</v>
      </c>
      <c r="O108" s="412">
        <f t="shared" si="43"/>
        <v>2813500</v>
      </c>
      <c r="P108" s="412">
        <f t="shared" si="43"/>
        <v>2813500</v>
      </c>
      <c r="Q108" s="412">
        <f t="shared" si="43"/>
        <v>2817580</v>
      </c>
      <c r="R108" s="412">
        <f t="shared" si="43"/>
        <v>2813500</v>
      </c>
      <c r="S108" s="412">
        <f t="shared" si="43"/>
        <v>2813500</v>
      </c>
      <c r="T108" s="412">
        <f t="shared" si="43"/>
        <v>2817580</v>
      </c>
      <c r="U108" s="412">
        <f t="shared" si="43"/>
        <v>2813500</v>
      </c>
      <c r="V108" s="412">
        <f t="shared" si="43"/>
        <v>2813500</v>
      </c>
      <c r="W108" s="413">
        <f>V89</f>
        <v>0</v>
      </c>
      <c r="X108" s="413">
        <f>SUM(B108:W108)</f>
        <v>56209820</v>
      </c>
    </row>
    <row r="109" spans="1:25" s="411" customFormat="1" ht="11.25" x14ac:dyDescent="0.2">
      <c r="A109" s="411" t="s">
        <v>410</v>
      </c>
      <c r="B109" s="412">
        <f>B108-B107</f>
        <v>-947000</v>
      </c>
      <c r="C109" s="412">
        <f t="shared" ref="C109:V109" si="44">C108-C107</f>
        <v>1866928</v>
      </c>
      <c r="D109" s="412">
        <f t="shared" si="44"/>
        <v>1865603</v>
      </c>
      <c r="E109" s="412">
        <f t="shared" si="44"/>
        <v>1865603</v>
      </c>
      <c r="F109" s="412">
        <f t="shared" si="44"/>
        <v>1869944</v>
      </c>
      <c r="G109" s="412">
        <f t="shared" si="44"/>
        <v>1869993.7</v>
      </c>
      <c r="H109" s="412">
        <f t="shared" si="44"/>
        <v>1870000</v>
      </c>
      <c r="I109" s="412">
        <f t="shared" si="44"/>
        <v>1869200</v>
      </c>
      <c r="J109" s="412">
        <f t="shared" si="44"/>
        <v>1867160</v>
      </c>
      <c r="K109" s="412">
        <f t="shared" si="44"/>
        <v>1925080</v>
      </c>
      <c r="L109" s="412">
        <f t="shared" si="44"/>
        <v>1928700</v>
      </c>
      <c r="M109" s="412">
        <f t="shared" si="44"/>
        <v>1926660</v>
      </c>
      <c r="N109" s="412">
        <f t="shared" si="44"/>
        <v>1933580</v>
      </c>
      <c r="O109" s="412">
        <f t="shared" si="44"/>
        <v>1928700</v>
      </c>
      <c r="P109" s="412">
        <f t="shared" si="44"/>
        <v>1926660</v>
      </c>
      <c r="Q109" s="412">
        <f t="shared" si="44"/>
        <v>1933580</v>
      </c>
      <c r="R109" s="412">
        <f t="shared" si="44"/>
        <v>1928700</v>
      </c>
      <c r="S109" s="412">
        <f t="shared" si="44"/>
        <v>1926660</v>
      </c>
      <c r="T109" s="412">
        <f t="shared" si="44"/>
        <v>1933580</v>
      </c>
      <c r="U109" s="412">
        <f t="shared" si="44"/>
        <v>1929500</v>
      </c>
      <c r="V109" s="412">
        <f t="shared" si="44"/>
        <v>1929500</v>
      </c>
      <c r="W109" s="412">
        <v>0</v>
      </c>
      <c r="X109" s="412">
        <f>SUM(B109:W109)</f>
        <v>37148331.700000003</v>
      </c>
    </row>
    <row r="110" spans="1:25" s="417" customFormat="1" ht="9" x14ac:dyDescent="0.15">
      <c r="A110" s="417" t="s">
        <v>41</v>
      </c>
      <c r="B110" s="416">
        <f>B109</f>
        <v>-947000</v>
      </c>
      <c r="C110" s="416">
        <f>B110+C109</f>
        <v>919928</v>
      </c>
      <c r="D110" s="416">
        <f t="shared" ref="D110:W110" si="45">C110+D109</f>
        <v>2785531</v>
      </c>
      <c r="E110" s="416">
        <f t="shared" si="45"/>
        <v>4651134</v>
      </c>
      <c r="F110" s="416">
        <f t="shared" si="45"/>
        <v>6521078</v>
      </c>
      <c r="G110" s="416">
        <f t="shared" si="45"/>
        <v>8391071.6999999993</v>
      </c>
      <c r="H110" s="416">
        <f t="shared" si="45"/>
        <v>10261071.699999999</v>
      </c>
      <c r="I110" s="416">
        <f t="shared" si="45"/>
        <v>12130271.699999999</v>
      </c>
      <c r="J110" s="416">
        <f t="shared" si="45"/>
        <v>13997431.699999999</v>
      </c>
      <c r="K110" s="416">
        <f t="shared" si="45"/>
        <v>15922511.699999999</v>
      </c>
      <c r="L110" s="416">
        <f t="shared" si="45"/>
        <v>17851211.699999999</v>
      </c>
      <c r="M110" s="416">
        <f t="shared" si="45"/>
        <v>19777871.699999999</v>
      </c>
      <c r="N110" s="416">
        <f t="shared" si="45"/>
        <v>21711451.699999999</v>
      </c>
      <c r="O110" s="416">
        <f t="shared" si="45"/>
        <v>23640151.699999999</v>
      </c>
      <c r="P110" s="416">
        <f t="shared" si="45"/>
        <v>25566811.699999999</v>
      </c>
      <c r="Q110" s="416">
        <f t="shared" si="45"/>
        <v>27500391.699999999</v>
      </c>
      <c r="R110" s="416">
        <f t="shared" si="45"/>
        <v>29429091.699999999</v>
      </c>
      <c r="S110" s="416">
        <f t="shared" si="45"/>
        <v>31355751.699999999</v>
      </c>
      <c r="T110" s="416">
        <f t="shared" si="45"/>
        <v>33289331.699999999</v>
      </c>
      <c r="U110" s="416">
        <f t="shared" si="45"/>
        <v>35218831.700000003</v>
      </c>
      <c r="V110" s="416">
        <f t="shared" si="45"/>
        <v>37148331.700000003</v>
      </c>
      <c r="W110" s="416">
        <f t="shared" si="45"/>
        <v>37148331.700000003</v>
      </c>
    </row>
    <row r="111" spans="1:25" s="409" customFormat="1" ht="11.25" x14ac:dyDescent="0.2">
      <c r="B111" s="409">
        <f>IF($C$112=B110,B105,0)</f>
        <v>0</v>
      </c>
      <c r="C111" s="409">
        <f t="shared" ref="C111:V111" si="46">IF($C$112=C110,C105,0)</f>
        <v>0</v>
      </c>
      <c r="D111" s="409">
        <f t="shared" si="46"/>
        <v>0</v>
      </c>
      <c r="E111" s="409">
        <f t="shared" si="46"/>
        <v>0</v>
      </c>
      <c r="F111" s="409">
        <f t="shared" si="46"/>
        <v>0</v>
      </c>
      <c r="G111" s="409">
        <f t="shared" si="46"/>
        <v>0</v>
      </c>
      <c r="H111" s="409">
        <f t="shared" si="46"/>
        <v>0</v>
      </c>
      <c r="I111" s="409">
        <f t="shared" si="46"/>
        <v>0</v>
      </c>
      <c r="J111" s="409">
        <f t="shared" si="46"/>
        <v>0</v>
      </c>
      <c r="K111" s="409">
        <f t="shared" si="46"/>
        <v>0</v>
      </c>
      <c r="L111" s="409">
        <f t="shared" si="46"/>
        <v>0</v>
      </c>
      <c r="M111" s="409">
        <f t="shared" si="46"/>
        <v>0</v>
      </c>
      <c r="N111" s="409">
        <f t="shared" si="46"/>
        <v>0</v>
      </c>
      <c r="O111" s="409">
        <f t="shared" si="46"/>
        <v>0</v>
      </c>
      <c r="P111" s="409">
        <f t="shared" si="46"/>
        <v>0</v>
      </c>
      <c r="Q111" s="409">
        <f t="shared" si="46"/>
        <v>0</v>
      </c>
      <c r="R111" s="409">
        <f t="shared" si="46"/>
        <v>0</v>
      </c>
      <c r="S111" s="409">
        <f t="shared" si="46"/>
        <v>0</v>
      </c>
      <c r="T111" s="409">
        <f t="shared" si="46"/>
        <v>0</v>
      </c>
      <c r="U111" s="409">
        <f t="shared" si="46"/>
        <v>0</v>
      </c>
      <c r="V111" s="409">
        <f t="shared" si="46"/>
        <v>0</v>
      </c>
      <c r="W111" s="409">
        <f>IF($C$53=W110,W$4,0)</f>
        <v>0</v>
      </c>
    </row>
    <row r="112" spans="1:25" s="410" customFormat="1" ht="12" x14ac:dyDescent="0.2">
      <c r="A112" s="410" t="s">
        <v>411</v>
      </c>
      <c r="C112" s="416">
        <f>MIN(B110:W110)</f>
        <v>-947000</v>
      </c>
      <c r="E112" s="410" t="s">
        <v>413</v>
      </c>
      <c r="G112" s="410">
        <f>MAX(B111:W111)</f>
        <v>0</v>
      </c>
      <c r="H112" s="410" t="s">
        <v>414</v>
      </c>
    </row>
    <row r="113" spans="1:25" s="410" customFormat="1" ht="12" x14ac:dyDescent="0.2">
      <c r="A113" s="410" t="s">
        <v>412</v>
      </c>
      <c r="C113" s="410">
        <f>-C112*1.2</f>
        <v>1136400</v>
      </c>
      <c r="E113" s="410" t="s">
        <v>415</v>
      </c>
    </row>
    <row r="114" spans="1:25" s="94" customFormat="1" x14ac:dyDescent="0.25">
      <c r="W114" s="118"/>
      <c r="X114" s="118"/>
      <c r="Y114" s="118"/>
    </row>
    <row r="115" spans="1:25" s="94" customFormat="1" x14ac:dyDescent="0.25">
      <c r="W115" s="118"/>
      <c r="X115" s="118"/>
      <c r="Y115" s="118"/>
    </row>
    <row r="116" spans="1:25" s="94" customFormat="1" x14ac:dyDescent="0.25">
      <c r="W116" s="118"/>
      <c r="X116" s="118"/>
      <c r="Y116" s="118"/>
    </row>
    <row r="117" spans="1:25" s="94" customFormat="1" x14ac:dyDescent="0.25">
      <c r="W117" s="118"/>
      <c r="X117" s="118"/>
      <c r="Y117" s="118"/>
    </row>
    <row r="118" spans="1:25" s="94" customFormat="1" x14ac:dyDescent="0.25">
      <c r="W118" s="118"/>
      <c r="X118" s="118"/>
      <c r="Y118" s="118"/>
    </row>
    <row r="119" spans="1:25" s="94" customFormat="1" x14ac:dyDescent="0.25">
      <c r="W119" s="118"/>
      <c r="X119" s="118"/>
      <c r="Y119" s="118"/>
    </row>
    <row r="120" spans="1:25" s="94" customFormat="1" x14ac:dyDescent="0.25">
      <c r="W120" s="118"/>
      <c r="X120" s="118"/>
      <c r="Y120" s="118"/>
    </row>
    <row r="121" spans="1:25" s="94" customFormat="1" x14ac:dyDescent="0.25">
      <c r="W121" s="118"/>
      <c r="X121" s="118"/>
      <c r="Y121" s="118"/>
    </row>
    <row r="122" spans="1:25" s="94" customFormat="1" x14ac:dyDescent="0.25">
      <c r="W122" s="118"/>
      <c r="X122" s="118"/>
      <c r="Y122" s="118"/>
    </row>
    <row r="123" spans="1:25" s="94" customFormat="1" x14ac:dyDescent="0.25">
      <c r="W123" s="118"/>
      <c r="X123" s="118"/>
      <c r="Y123" s="118"/>
    </row>
    <row r="124" spans="1:25" s="94" customFormat="1" x14ac:dyDescent="0.25">
      <c r="W124" s="118"/>
      <c r="X124" s="118"/>
      <c r="Y124" s="118"/>
    </row>
    <row r="125" spans="1:25" s="94" customFormat="1" x14ac:dyDescent="0.25">
      <c r="W125" s="118"/>
      <c r="X125" s="118"/>
      <c r="Y125" s="118"/>
    </row>
    <row r="126" spans="1:25" s="94" customFormat="1" x14ac:dyDescent="0.25">
      <c r="W126" s="118"/>
      <c r="X126" s="118"/>
      <c r="Y126" s="118"/>
    </row>
    <row r="127" spans="1:25" s="94" customFormat="1" x14ac:dyDescent="0.25">
      <c r="W127" s="118"/>
      <c r="X127" s="118"/>
      <c r="Y127" s="118"/>
    </row>
    <row r="128" spans="1:25" s="94" customFormat="1" x14ac:dyDescent="0.25">
      <c r="W128" s="118"/>
      <c r="X128" s="118"/>
      <c r="Y128" s="118"/>
    </row>
    <row r="129" spans="23:25" s="94" customFormat="1" x14ac:dyDescent="0.25">
      <c r="W129" s="118"/>
      <c r="X129" s="118"/>
      <c r="Y129" s="118"/>
    </row>
  </sheetData>
  <mergeCells count="14">
    <mergeCell ref="K98:V98"/>
    <mergeCell ref="T93:V93"/>
    <mergeCell ref="D96:E96"/>
    <mergeCell ref="G96:H96"/>
    <mergeCell ref="I96:J96"/>
    <mergeCell ref="K96:V96"/>
    <mergeCell ref="B97:J97"/>
    <mergeCell ref="K97:V97"/>
    <mergeCell ref="B92:S92"/>
    <mergeCell ref="Y86:Z89"/>
    <mergeCell ref="B91:M91"/>
    <mergeCell ref="N91:O91"/>
    <mergeCell ref="R91:S91"/>
    <mergeCell ref="T91:V91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topLeftCell="A4" zoomScale="70" zoomScaleNormal="70" workbookViewId="0">
      <selection activeCell="N16" sqref="N16"/>
    </sheetView>
  </sheetViews>
  <sheetFormatPr defaultRowHeight="15" x14ac:dyDescent="0.25"/>
  <cols>
    <col min="1" max="1" width="4.42578125" customWidth="1"/>
    <col min="14" max="14" width="45.5703125" style="1" bestFit="1" customWidth="1"/>
    <col min="15" max="15" width="23.7109375" style="1" customWidth="1"/>
    <col min="16" max="22" width="8.85546875" style="1"/>
  </cols>
  <sheetData>
    <row r="1" spans="1:20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6"/>
    </row>
    <row r="2" spans="1:20" ht="18.75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 t="s">
        <v>0</v>
      </c>
      <c r="O2" s="10"/>
      <c r="P2" s="10"/>
      <c r="Q2" s="10"/>
      <c r="R2" s="10"/>
      <c r="S2" s="10"/>
      <c r="T2" s="11"/>
    </row>
    <row r="3" spans="1:20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  <c r="O3" s="10"/>
      <c r="P3" s="10"/>
      <c r="Q3" s="10"/>
      <c r="R3" s="10"/>
      <c r="S3" s="10"/>
      <c r="T3" s="11"/>
    </row>
    <row r="4" spans="1:20" ht="17.25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2" t="s">
        <v>1</v>
      </c>
      <c r="O4" s="13" t="s">
        <v>2</v>
      </c>
      <c r="P4" s="13"/>
      <c r="Q4" s="13"/>
      <c r="R4" s="10"/>
      <c r="S4" s="10"/>
      <c r="T4" s="11"/>
    </row>
    <row r="5" spans="1:20" ht="17.25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2" t="s">
        <v>3</v>
      </c>
      <c r="O5" s="13"/>
      <c r="P5" s="13"/>
      <c r="Q5" s="13"/>
      <c r="R5" s="10"/>
      <c r="S5" s="10"/>
      <c r="T5" s="11"/>
    </row>
    <row r="6" spans="1:20" ht="16.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4" t="s">
        <v>4</v>
      </c>
      <c r="O6" s="13"/>
      <c r="P6" s="13"/>
      <c r="Q6" s="13"/>
      <c r="R6" s="10"/>
      <c r="S6" s="10"/>
      <c r="T6" s="11"/>
    </row>
    <row r="7" spans="1:20" ht="16.5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4" t="s">
        <v>5</v>
      </c>
      <c r="O7" s="13"/>
      <c r="P7" s="13"/>
      <c r="Q7" s="13"/>
      <c r="R7" s="10"/>
      <c r="S7" s="10"/>
      <c r="T7" s="11"/>
    </row>
    <row r="8" spans="1:20" ht="16.5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4" t="s">
        <v>6</v>
      </c>
      <c r="O8" s="13"/>
      <c r="P8" s="13"/>
      <c r="Q8" s="13"/>
      <c r="R8" s="10"/>
      <c r="S8" s="10"/>
      <c r="T8" s="11"/>
    </row>
    <row r="9" spans="1:20" ht="16.5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3"/>
      <c r="O9" s="13"/>
      <c r="P9" s="13"/>
      <c r="Q9" s="13"/>
      <c r="R9" s="10"/>
      <c r="S9" s="10"/>
      <c r="T9" s="11"/>
    </row>
    <row r="10" spans="1:20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  <c r="O10" s="10"/>
      <c r="P10" s="10"/>
      <c r="Q10" s="10"/>
      <c r="R10" s="10"/>
      <c r="S10" s="10"/>
      <c r="T10" s="11"/>
    </row>
    <row r="11" spans="1:20" ht="18.75" x14ac:dyDescent="0.3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 t="s">
        <v>7</v>
      </c>
      <c r="O11" s="10"/>
      <c r="P11" s="10"/>
      <c r="Q11" s="10"/>
      <c r="R11" s="10"/>
      <c r="S11" s="10"/>
      <c r="T11" s="11"/>
    </row>
    <row r="12" spans="1:20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0"/>
      <c r="Q12" s="10"/>
      <c r="R12" s="10"/>
      <c r="S12" s="10"/>
      <c r="T12" s="11"/>
    </row>
    <row r="13" spans="1:20" ht="17.25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2" t="s">
        <v>1</v>
      </c>
      <c r="O13" s="10" t="s">
        <v>8</v>
      </c>
      <c r="P13" s="10"/>
      <c r="Q13" s="10"/>
      <c r="R13" s="10"/>
      <c r="S13" s="10"/>
      <c r="T13" s="11"/>
    </row>
    <row r="14" spans="1:20" ht="17.25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2" t="s">
        <v>3</v>
      </c>
      <c r="O14" s="10"/>
      <c r="P14" s="10"/>
      <c r="Q14" s="10"/>
      <c r="R14" s="10"/>
      <c r="S14" s="10"/>
      <c r="T14" s="11"/>
    </row>
    <row r="15" spans="1:20" ht="16.5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 t="s">
        <v>9</v>
      </c>
      <c r="O15" s="10"/>
      <c r="P15" s="10"/>
      <c r="Q15" s="10"/>
      <c r="R15" s="10"/>
      <c r="S15" s="10"/>
      <c r="T15" s="11"/>
    </row>
    <row r="16" spans="1:20" ht="16.5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 t="s">
        <v>10</v>
      </c>
      <c r="O16" s="10"/>
      <c r="P16" s="10"/>
      <c r="Q16" s="10"/>
      <c r="R16" s="10"/>
      <c r="S16" s="10"/>
      <c r="T16" s="11"/>
    </row>
    <row r="17" spans="1:22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  <c r="O17" s="10"/>
      <c r="P17" s="10"/>
      <c r="Q17" s="10"/>
      <c r="R17" s="10"/>
      <c r="S17" s="10"/>
      <c r="T17" s="11"/>
    </row>
    <row r="18" spans="1:22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  <c r="O18" s="10"/>
      <c r="P18" s="10"/>
      <c r="Q18" s="10"/>
      <c r="R18" s="10"/>
      <c r="S18" s="10"/>
      <c r="T18" s="11"/>
    </row>
    <row r="19" spans="1:22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  <c r="O19" s="10"/>
      <c r="P19" s="10"/>
      <c r="Q19" s="10"/>
      <c r="R19" s="10"/>
      <c r="S19" s="10"/>
      <c r="T19" s="11"/>
    </row>
    <row r="20" spans="1:22" ht="18.75" x14ac:dyDescent="0.3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 t="s">
        <v>11</v>
      </c>
      <c r="O20" s="10"/>
      <c r="P20" s="10"/>
      <c r="Q20" s="10"/>
      <c r="R20" s="10"/>
      <c r="S20" s="10"/>
      <c r="T20" s="11"/>
    </row>
    <row r="21" spans="1:22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  <c r="O21" s="10"/>
      <c r="P21" s="10"/>
      <c r="Q21" s="10"/>
      <c r="R21" s="10"/>
      <c r="S21" s="10"/>
      <c r="T21" s="11"/>
    </row>
    <row r="22" spans="1:22" ht="17.25" x14ac:dyDescent="0.3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2" t="s">
        <v>1</v>
      </c>
      <c r="O22" s="13" t="s">
        <v>12</v>
      </c>
      <c r="P22" s="10"/>
      <c r="Q22" s="10"/>
      <c r="R22" s="10"/>
      <c r="S22" s="10"/>
      <c r="T22" s="11"/>
    </row>
    <row r="23" spans="1:22" ht="17.25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2" t="s">
        <v>3</v>
      </c>
      <c r="O23" s="13"/>
      <c r="P23" s="10"/>
      <c r="Q23" s="10"/>
      <c r="R23" s="10"/>
      <c r="S23" s="10"/>
      <c r="T23" s="11"/>
    </row>
    <row r="24" spans="1:22" ht="16.5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 t="s">
        <v>9</v>
      </c>
      <c r="O24" s="13" t="s">
        <v>13</v>
      </c>
      <c r="P24" s="10"/>
      <c r="Q24" s="10"/>
      <c r="R24" s="10"/>
      <c r="S24" s="10"/>
      <c r="T24" s="11"/>
    </row>
    <row r="25" spans="1:22" ht="16.5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4" t="s">
        <v>14</v>
      </c>
      <c r="O25" s="13"/>
      <c r="P25" s="10"/>
      <c r="Q25" s="10"/>
      <c r="R25" s="10"/>
      <c r="S25" s="10"/>
      <c r="T25" s="11"/>
    </row>
    <row r="26" spans="1:22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  <c r="O26" s="10"/>
      <c r="P26" s="10"/>
      <c r="Q26" s="10"/>
      <c r="R26" s="10"/>
      <c r="S26" s="10"/>
      <c r="T26" s="11"/>
    </row>
    <row r="27" spans="1:22" ht="18.75" x14ac:dyDescent="0.3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5" t="s">
        <v>18</v>
      </c>
      <c r="O27" s="10"/>
      <c r="P27" s="10"/>
      <c r="Q27" s="10"/>
      <c r="R27" s="10"/>
      <c r="S27" s="10"/>
      <c r="T27" s="11"/>
    </row>
    <row r="28" spans="1:22" ht="16.5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6" t="s">
        <v>15</v>
      </c>
      <c r="O28" s="10"/>
      <c r="P28" s="10"/>
      <c r="Q28" s="10"/>
      <c r="R28" s="10"/>
      <c r="S28" s="10"/>
      <c r="T28" s="11"/>
    </row>
    <row r="29" spans="1:22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 t="s">
        <v>16</v>
      </c>
      <c r="O29" s="10"/>
      <c r="P29" s="10"/>
      <c r="Q29" s="10"/>
      <c r="R29" s="10"/>
      <c r="S29" s="10"/>
      <c r="T29" s="11"/>
    </row>
    <row r="30" spans="1:22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 t="s">
        <v>17</v>
      </c>
      <c r="O30" s="10"/>
      <c r="P30" s="10"/>
      <c r="Q30" s="10"/>
      <c r="R30" s="10"/>
      <c r="S30" s="10"/>
      <c r="T30" s="11"/>
    </row>
    <row r="31" spans="1:22" ht="15.75" thickBot="1" x14ac:dyDescent="0.3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19"/>
      <c r="P31" s="19"/>
      <c r="Q31" s="19"/>
      <c r="R31" s="19"/>
      <c r="S31" s="19"/>
      <c r="T31" s="20"/>
    </row>
    <row r="32" spans="1:22" s="22" customFormat="1" ht="18.75" x14ac:dyDescent="0.3"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2" customFormat="1" ht="37.5" x14ac:dyDescent="0.3">
      <c r="A33" s="22" t="s">
        <v>19</v>
      </c>
      <c r="N33" s="23"/>
      <c r="O33" s="24" t="s">
        <v>26</v>
      </c>
      <c r="P33" s="23"/>
      <c r="Q33" s="23"/>
      <c r="R33" s="23"/>
      <c r="S33" s="23"/>
      <c r="T33" s="23"/>
      <c r="U33" s="23"/>
      <c r="V33" s="23"/>
    </row>
    <row r="34" spans="1:22" s="22" customFormat="1" ht="18.75" x14ac:dyDescent="0.3">
      <c r="A34" s="22" t="s">
        <v>20</v>
      </c>
      <c r="N34" s="23"/>
      <c r="O34" s="25">
        <v>200</v>
      </c>
      <c r="P34" s="23" t="s">
        <v>27</v>
      </c>
      <c r="Q34" s="23"/>
      <c r="R34" s="23"/>
      <c r="S34" s="23"/>
      <c r="T34" s="23"/>
      <c r="U34" s="23"/>
      <c r="V34" s="23"/>
    </row>
    <row r="35" spans="1:22" s="22" customFormat="1" ht="18.75" x14ac:dyDescent="0.3">
      <c r="B35" s="32" t="s">
        <v>23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2"/>
      <c r="O35" s="26"/>
      <c r="P35" s="23"/>
      <c r="Q35" s="23"/>
      <c r="R35" s="23"/>
      <c r="S35" s="23"/>
      <c r="T35" s="23"/>
      <c r="U35" s="23"/>
      <c r="V35" s="23"/>
    </row>
    <row r="36" spans="1:22" s="22" customFormat="1" ht="18.75" x14ac:dyDescent="0.3">
      <c r="B36" s="22" t="s">
        <v>36</v>
      </c>
      <c r="N36" s="23"/>
      <c r="O36" s="31">
        <v>40000</v>
      </c>
      <c r="P36" s="23"/>
      <c r="Q36" s="23"/>
      <c r="R36" s="23"/>
      <c r="S36" s="23"/>
      <c r="T36" s="23"/>
      <c r="U36" s="23"/>
      <c r="V36" s="23"/>
    </row>
    <row r="37" spans="1:22" s="22" customFormat="1" ht="18.75" x14ac:dyDescent="0.3">
      <c r="B37" s="22" t="s">
        <v>24</v>
      </c>
      <c r="N37" s="23"/>
      <c r="O37" s="31">
        <v>40000</v>
      </c>
      <c r="P37" s="23"/>
      <c r="Q37" s="23"/>
      <c r="R37" s="23"/>
      <c r="S37" s="23"/>
      <c r="T37" s="23"/>
      <c r="U37" s="23"/>
      <c r="V37" s="23"/>
    </row>
    <row r="38" spans="1:22" s="22" customFormat="1" ht="18.75" x14ac:dyDescent="0.3">
      <c r="B38" s="22" t="s">
        <v>22</v>
      </c>
      <c r="N38" s="23"/>
      <c r="O38" s="27">
        <f>O39-O40</f>
        <v>46000</v>
      </c>
      <c r="P38" s="23"/>
      <c r="Q38" s="23"/>
      <c r="R38" s="23"/>
      <c r="S38" s="23"/>
      <c r="T38" s="23"/>
      <c r="U38" s="23"/>
      <c r="V38" s="23"/>
    </row>
    <row r="39" spans="1:22" s="22" customFormat="1" ht="18.75" x14ac:dyDescent="0.3">
      <c r="C39" s="22" t="s">
        <v>37</v>
      </c>
      <c r="N39" s="23"/>
      <c r="O39" s="28">
        <v>50000</v>
      </c>
      <c r="P39" s="23"/>
      <c r="Q39" s="23"/>
      <c r="R39" s="23"/>
      <c r="S39" s="23"/>
      <c r="T39" s="23"/>
      <c r="U39" s="23"/>
      <c r="V39" s="23"/>
    </row>
    <row r="40" spans="1:22" s="22" customFormat="1" ht="18.75" x14ac:dyDescent="0.3">
      <c r="C40" s="22" t="s">
        <v>28</v>
      </c>
      <c r="N40" s="23"/>
      <c r="O40" s="28">
        <v>4000</v>
      </c>
      <c r="P40" s="23"/>
      <c r="Q40" s="23"/>
      <c r="R40" s="23"/>
      <c r="S40" s="23"/>
      <c r="T40" s="23"/>
      <c r="U40" s="23"/>
      <c r="V40" s="23"/>
    </row>
    <row r="41" spans="1:22" s="22" customFormat="1" ht="18.75" x14ac:dyDescent="0.3">
      <c r="B41" s="22" t="s">
        <v>32</v>
      </c>
      <c r="N41" s="23"/>
      <c r="O41" s="27">
        <f>O39-O40</f>
        <v>46000</v>
      </c>
      <c r="P41" s="23"/>
      <c r="Q41" s="23"/>
      <c r="R41" s="23"/>
      <c r="S41" s="23"/>
      <c r="T41" s="23"/>
      <c r="U41" s="23"/>
      <c r="V41" s="23"/>
    </row>
    <row r="42" spans="1:22" s="22" customFormat="1" ht="18.75" x14ac:dyDescent="0.3">
      <c r="B42" s="22" t="s">
        <v>29</v>
      </c>
      <c r="N42" s="23"/>
      <c r="O42" s="27">
        <f>O38*O34/1000</f>
        <v>9200</v>
      </c>
      <c r="P42" s="23"/>
      <c r="Q42" s="23"/>
      <c r="R42" s="23"/>
      <c r="S42" s="23"/>
      <c r="T42" s="23"/>
      <c r="U42" s="23"/>
      <c r="V42" s="23"/>
    </row>
    <row r="43" spans="1:22" s="22" customFormat="1" ht="18.75" x14ac:dyDescent="0.3">
      <c r="B43" s="22" t="s">
        <v>25</v>
      </c>
      <c r="N43" s="23"/>
      <c r="O43" s="29">
        <v>0</v>
      </c>
      <c r="P43" s="23"/>
      <c r="Q43" s="23"/>
      <c r="R43" s="23"/>
      <c r="S43" s="23"/>
      <c r="T43" s="23"/>
      <c r="U43" s="23"/>
      <c r="V43" s="23"/>
    </row>
    <row r="44" spans="1:22" s="22" customFormat="1" ht="18.75" x14ac:dyDescent="0.3">
      <c r="B44" s="22" t="s">
        <v>30</v>
      </c>
      <c r="N44" s="23"/>
      <c r="O44" s="30">
        <f>O42/(1+O43)</f>
        <v>9200</v>
      </c>
      <c r="P44" s="23"/>
      <c r="Q44" s="23"/>
      <c r="R44" s="23"/>
      <c r="S44" s="23"/>
      <c r="T44" s="23"/>
      <c r="U44" s="23"/>
      <c r="V44" s="23"/>
    </row>
    <row r="45" spans="1:22" s="22" customFormat="1" ht="18.75" x14ac:dyDescent="0.3">
      <c r="N45" s="23"/>
      <c r="P45" s="23"/>
      <c r="Q45" s="23"/>
      <c r="R45" s="23"/>
      <c r="S45" s="23"/>
      <c r="T45" s="23"/>
      <c r="U45" s="23"/>
      <c r="V45" s="23"/>
    </row>
    <row r="46" spans="1:22" s="22" customFormat="1" ht="18.75" x14ac:dyDescent="0.3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"/>
      <c r="O46" s="26"/>
      <c r="P46" s="23"/>
      <c r="Q46" s="23"/>
      <c r="R46" s="23"/>
      <c r="S46" s="23"/>
      <c r="T46" s="23"/>
      <c r="U46" s="23"/>
      <c r="V46" s="23"/>
    </row>
    <row r="47" spans="1:22" s="33" customFormat="1" ht="18.75" x14ac:dyDescent="0.3">
      <c r="B47" s="34" t="s">
        <v>34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1">
        <v>25000</v>
      </c>
      <c r="P47" s="36"/>
      <c r="Q47" s="36"/>
      <c r="R47" s="36"/>
      <c r="S47" s="36"/>
      <c r="T47" s="36"/>
      <c r="U47" s="36"/>
      <c r="V47" s="36"/>
    </row>
    <row r="48" spans="1:22" s="22" customFormat="1" ht="18.75" x14ac:dyDescent="0.3">
      <c r="B48" s="22" t="s">
        <v>21</v>
      </c>
      <c r="N48" s="23"/>
      <c r="O48" s="31">
        <v>30000</v>
      </c>
      <c r="P48" s="23"/>
      <c r="Q48" s="23"/>
      <c r="R48" s="23"/>
      <c r="S48" s="23"/>
      <c r="T48" s="23"/>
      <c r="U48" s="23"/>
      <c r="V48" s="23"/>
    </row>
    <row r="49" spans="2:22" s="22" customFormat="1" ht="18.75" x14ac:dyDescent="0.3">
      <c r="B49" s="22" t="s">
        <v>35</v>
      </c>
      <c r="N49" s="23"/>
      <c r="O49" s="31">
        <v>30000</v>
      </c>
      <c r="P49" s="23"/>
      <c r="Q49" s="23"/>
      <c r="R49" s="23"/>
      <c r="S49" s="23"/>
      <c r="T49" s="23"/>
      <c r="U49" s="23"/>
      <c r="V49" s="23"/>
    </row>
    <row r="50" spans="2:22" s="22" customFormat="1" ht="18.75" x14ac:dyDescent="0.3">
      <c r="B50" s="22" t="s">
        <v>22</v>
      </c>
      <c r="N50" s="23"/>
      <c r="O50" s="27">
        <f>O51-O52</f>
        <v>46000</v>
      </c>
      <c r="P50" s="23"/>
      <c r="Q50" s="23"/>
      <c r="R50" s="23"/>
      <c r="S50" s="23"/>
      <c r="T50" s="23"/>
      <c r="U50" s="23"/>
      <c r="V50" s="23"/>
    </row>
    <row r="51" spans="2:22" s="22" customFormat="1" ht="18.75" x14ac:dyDescent="0.3">
      <c r="C51" s="22" t="s">
        <v>31</v>
      </c>
      <c r="N51" s="23"/>
      <c r="O51" s="28">
        <v>50000</v>
      </c>
      <c r="P51" s="23"/>
      <c r="Q51" s="23"/>
      <c r="R51" s="23"/>
      <c r="S51" s="23"/>
      <c r="T51" s="23"/>
      <c r="U51" s="23"/>
      <c r="V51" s="23"/>
    </row>
    <row r="52" spans="2:22" s="22" customFormat="1" ht="18.75" x14ac:dyDescent="0.3">
      <c r="C52" s="22" t="s">
        <v>28</v>
      </c>
      <c r="N52" s="23"/>
      <c r="O52" s="28">
        <v>4000</v>
      </c>
      <c r="P52" s="23"/>
      <c r="Q52" s="23"/>
      <c r="R52" s="23"/>
      <c r="S52" s="23"/>
      <c r="T52" s="23"/>
      <c r="U52" s="23"/>
      <c r="V52" s="23"/>
    </row>
    <row r="53" spans="2:22" s="22" customFormat="1" ht="18.75" x14ac:dyDescent="0.3">
      <c r="B53" s="22" t="s">
        <v>32</v>
      </c>
      <c r="N53" s="23"/>
      <c r="O53" s="27">
        <f>O51-O52</f>
        <v>46000</v>
      </c>
      <c r="P53" s="23"/>
      <c r="Q53" s="23"/>
      <c r="R53" s="23"/>
      <c r="S53" s="23"/>
      <c r="T53" s="23"/>
      <c r="U53" s="23"/>
      <c r="V53" s="23"/>
    </row>
    <row r="54" spans="2:22" s="22" customFormat="1" ht="18.75" x14ac:dyDescent="0.3">
      <c r="B54" s="22" t="s">
        <v>29</v>
      </c>
      <c r="N54" s="23"/>
      <c r="O54" s="27">
        <f>O50*O34/1000</f>
        <v>9200</v>
      </c>
      <c r="P54" s="23"/>
      <c r="Q54" s="23"/>
      <c r="R54" s="23"/>
      <c r="S54" s="23"/>
      <c r="T54" s="23"/>
      <c r="U54" s="23"/>
      <c r="V54" s="23"/>
    </row>
    <row r="55" spans="2:22" s="22" customFormat="1" ht="18.75" x14ac:dyDescent="0.3">
      <c r="B55" s="22" t="s">
        <v>25</v>
      </c>
      <c r="N55" s="23"/>
      <c r="O55" s="29">
        <v>0.05</v>
      </c>
      <c r="P55" s="23"/>
      <c r="Q55" s="23"/>
      <c r="R55" s="23"/>
      <c r="S55" s="23"/>
      <c r="T55" s="23"/>
      <c r="U55" s="23"/>
      <c r="V55" s="23"/>
    </row>
    <row r="56" spans="2:22" s="22" customFormat="1" ht="18.75" x14ac:dyDescent="0.3">
      <c r="B56" s="22" t="s">
        <v>30</v>
      </c>
      <c r="N56" s="23"/>
      <c r="O56" s="30">
        <f>O54/(1+O55)</f>
        <v>8761.9047619047615</v>
      </c>
      <c r="P56" s="23"/>
      <c r="Q56" s="23"/>
      <c r="R56" s="23"/>
      <c r="S56" s="23"/>
      <c r="T56" s="23"/>
      <c r="U56" s="23"/>
      <c r="V56" s="23"/>
    </row>
    <row r="57" spans="2:22" s="22" customFormat="1" ht="18.75" x14ac:dyDescent="0.3">
      <c r="N57" s="23"/>
      <c r="O57" s="23"/>
      <c r="P57" s="23"/>
      <c r="Q57" s="23"/>
      <c r="R57" s="23"/>
      <c r="S57" s="23"/>
      <c r="T57" s="23"/>
      <c r="U57" s="23"/>
      <c r="V57" s="23"/>
    </row>
    <row r="58" spans="2:22" s="22" customFormat="1" ht="18.75" x14ac:dyDescent="0.3">
      <c r="N58" s="23"/>
      <c r="O58" s="23"/>
      <c r="P58" s="23"/>
      <c r="Q58" s="23"/>
      <c r="R58" s="23"/>
      <c r="S58" s="23"/>
      <c r="T58" s="23"/>
      <c r="U58" s="23"/>
      <c r="V58" s="23"/>
    </row>
    <row r="59" spans="2:22" s="22" customFormat="1" ht="18.75" x14ac:dyDescent="0.3">
      <c r="N59" s="23"/>
      <c r="O59" s="23"/>
      <c r="P59" s="23"/>
      <c r="Q59" s="23"/>
      <c r="R59" s="23"/>
      <c r="S59" s="23"/>
      <c r="T59" s="23"/>
      <c r="U59" s="23"/>
      <c r="V59" s="23"/>
    </row>
    <row r="60" spans="2:22" s="22" customFormat="1" ht="18.75" x14ac:dyDescent="0.3">
      <c r="N60" s="23"/>
      <c r="O60" s="23"/>
      <c r="P60" s="23"/>
      <c r="Q60" s="23"/>
      <c r="R60" s="23"/>
      <c r="S60" s="23"/>
      <c r="T60" s="23"/>
      <c r="U60" s="23"/>
      <c r="V60" s="23"/>
    </row>
    <row r="61" spans="2:22" s="22" customFormat="1" ht="18.75" x14ac:dyDescent="0.3">
      <c r="N61" s="23"/>
      <c r="O61" s="23"/>
      <c r="P61" s="23"/>
      <c r="Q61" s="23"/>
      <c r="R61" s="23"/>
      <c r="S61" s="23"/>
      <c r="T61" s="23"/>
      <c r="U61" s="23"/>
      <c r="V61" s="23"/>
    </row>
    <row r="62" spans="2:22" s="22" customFormat="1" ht="18.75" x14ac:dyDescent="0.3">
      <c r="N62" s="23"/>
      <c r="O62" s="23"/>
      <c r="P62" s="23"/>
      <c r="Q62" s="23"/>
      <c r="R62" s="23"/>
      <c r="S62" s="23"/>
      <c r="T62" s="23"/>
      <c r="U62" s="23"/>
      <c r="V62" s="23"/>
    </row>
    <row r="63" spans="2:22" s="22" customFormat="1" ht="18.75" x14ac:dyDescent="0.3">
      <c r="N63" s="23"/>
      <c r="O63" s="23"/>
      <c r="P63" s="23"/>
      <c r="Q63" s="23"/>
      <c r="R63" s="23"/>
      <c r="S63" s="23"/>
      <c r="T63" s="23"/>
      <c r="U63" s="23"/>
      <c r="V63" s="23"/>
    </row>
    <row r="64" spans="2:22" s="22" customFormat="1" ht="18.75" x14ac:dyDescent="0.3">
      <c r="N64" s="23"/>
      <c r="O64" s="23"/>
      <c r="P64" s="23"/>
      <c r="Q64" s="23"/>
      <c r="R64" s="23"/>
      <c r="S64" s="23"/>
      <c r="T64" s="23"/>
      <c r="U64" s="23"/>
      <c r="V64" s="23"/>
    </row>
    <row r="65" spans="1:22" s="22" customFormat="1" ht="18.75" x14ac:dyDescent="0.3">
      <c r="N65" s="23"/>
      <c r="O65" s="23"/>
      <c r="P65" s="23"/>
      <c r="Q65" s="23"/>
      <c r="R65" s="23"/>
      <c r="S65" s="23"/>
      <c r="T65" s="23"/>
      <c r="U65" s="23"/>
      <c r="V65" s="23"/>
    </row>
    <row r="66" spans="1:22" s="22" customFormat="1" ht="18.75" x14ac:dyDescent="0.3">
      <c r="N66" s="23"/>
      <c r="O66" s="23"/>
      <c r="P66" s="23"/>
      <c r="Q66" s="23"/>
      <c r="R66" s="23"/>
      <c r="S66" s="23"/>
      <c r="T66" s="23"/>
      <c r="U66" s="23"/>
      <c r="V66" s="23"/>
    </row>
    <row r="67" spans="1:22" s="22" customFormat="1" ht="18.75" x14ac:dyDescent="0.3">
      <c r="N67" s="23"/>
      <c r="O67" s="23"/>
      <c r="P67" s="23"/>
      <c r="Q67" s="23"/>
      <c r="R67" s="23"/>
      <c r="S67" s="23"/>
      <c r="T67" s="23"/>
      <c r="U67" s="23"/>
      <c r="V67" s="23"/>
    </row>
    <row r="68" spans="1:22" s="22" customFormat="1" ht="18.75" x14ac:dyDescent="0.3">
      <c r="N68" s="23"/>
      <c r="O68" s="23"/>
      <c r="P68" s="23"/>
      <c r="Q68" s="23"/>
      <c r="R68" s="23"/>
      <c r="S68" s="23"/>
      <c r="T68" s="23"/>
      <c r="U68" s="23"/>
      <c r="V68" s="23"/>
    </row>
    <row r="69" spans="1:22" s="22" customFormat="1" ht="18.75" x14ac:dyDescent="0.3">
      <c r="N69" s="23"/>
      <c r="O69" s="23"/>
      <c r="P69" s="23"/>
      <c r="Q69" s="23"/>
      <c r="R69" s="23"/>
      <c r="S69" s="23"/>
      <c r="T69" s="23"/>
      <c r="U69" s="23"/>
      <c r="V69" s="23"/>
    </row>
    <row r="70" spans="1:22" s="22" customFormat="1" ht="18.75" x14ac:dyDescent="0.3">
      <c r="N70" s="23"/>
      <c r="O70" s="23"/>
      <c r="P70" s="23"/>
      <c r="Q70" s="23"/>
      <c r="R70" s="23"/>
      <c r="S70" s="23"/>
      <c r="T70" s="23"/>
      <c r="U70" s="23"/>
      <c r="V70" s="23"/>
    </row>
    <row r="71" spans="1:22" s="22" customFormat="1" ht="18.75" x14ac:dyDescent="0.3">
      <c r="N71" s="23"/>
      <c r="O71" s="23"/>
      <c r="P71" s="23"/>
      <c r="Q71" s="23"/>
      <c r="R71" s="23"/>
      <c r="S71" s="23"/>
      <c r="T71" s="23"/>
      <c r="U71" s="23"/>
      <c r="V71" s="23"/>
    </row>
    <row r="72" spans="1:22" s="22" customFormat="1" ht="18.75" x14ac:dyDescent="0.3">
      <c r="N72" s="23"/>
      <c r="O72" s="23"/>
      <c r="P72" s="23"/>
      <c r="Q72" s="23"/>
      <c r="R72" s="23"/>
      <c r="S72" s="23"/>
      <c r="T72" s="23"/>
      <c r="U72" s="23"/>
      <c r="V72" s="23"/>
    </row>
    <row r="73" spans="1:22" s="22" customFormat="1" ht="18.75" x14ac:dyDescent="0.3">
      <c r="N73" s="23"/>
      <c r="O73" s="23"/>
      <c r="P73" s="23"/>
      <c r="Q73" s="23"/>
      <c r="R73" s="23"/>
      <c r="S73" s="23"/>
      <c r="T73" s="23"/>
      <c r="U73" s="23"/>
      <c r="V73" s="23"/>
    </row>
    <row r="74" spans="1:22" s="22" customFormat="1" ht="18.75" x14ac:dyDescent="0.3">
      <c r="N74" s="23"/>
      <c r="O74" s="23"/>
      <c r="P74" s="23"/>
      <c r="Q74" s="23"/>
      <c r="R74" s="23"/>
      <c r="S74" s="23"/>
      <c r="T74" s="23"/>
      <c r="U74" s="23"/>
      <c r="V74" s="23"/>
    </row>
    <row r="75" spans="1:22" s="22" customFormat="1" ht="18.75" x14ac:dyDescent="0.3">
      <c r="N75" s="23"/>
      <c r="O75" s="23"/>
      <c r="P75" s="23"/>
      <c r="Q75" s="23"/>
      <c r="R75" s="23"/>
      <c r="S75" s="23"/>
      <c r="T75" s="23"/>
      <c r="U75" s="23"/>
      <c r="V75" s="23"/>
    </row>
    <row r="76" spans="1:22" ht="18.75" x14ac:dyDescent="0.3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3"/>
    </row>
  </sheetData>
  <pageMargins left="0.37" right="0.27" top="0.74803149606299213" bottom="0.48" header="0.31496062992125984" footer="0.31496062992125984"/>
  <pageSetup paperSize="9" scale="5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opLeftCell="A59" zoomScale="80" zoomScaleNormal="80" workbookViewId="0">
      <selection activeCell="A53" sqref="A53:E55"/>
    </sheetView>
  </sheetViews>
  <sheetFormatPr defaultRowHeight="15" x14ac:dyDescent="0.25"/>
  <cols>
    <col min="1" max="1" width="75.85546875" customWidth="1"/>
    <col min="2" max="2" width="12.7109375" bestFit="1" customWidth="1"/>
    <col min="3" max="3" width="15.7109375" customWidth="1"/>
  </cols>
  <sheetData>
    <row r="1" spans="1:8" x14ac:dyDescent="0.25">
      <c r="A1" s="150" t="s">
        <v>189</v>
      </c>
      <c r="C1" t="s">
        <v>190</v>
      </c>
    </row>
    <row r="2" spans="1:8" x14ac:dyDescent="0.25">
      <c r="A2" s="150" t="s">
        <v>191</v>
      </c>
    </row>
    <row r="3" spans="1:8" x14ac:dyDescent="0.25">
      <c r="A3" s="148" t="s">
        <v>192</v>
      </c>
      <c r="B3" s="183">
        <v>950000</v>
      </c>
      <c r="C3" t="s">
        <v>196</v>
      </c>
      <c r="D3" s="145" t="s">
        <v>248</v>
      </c>
      <c r="E3" s="145"/>
      <c r="F3" s="145"/>
    </row>
    <row r="4" spans="1:8" x14ac:dyDescent="0.25">
      <c r="A4" s="148" t="s">
        <v>193</v>
      </c>
      <c r="B4" s="107">
        <v>1.2</v>
      </c>
      <c r="C4" t="s">
        <v>27</v>
      </c>
    </row>
    <row r="5" spans="1:8" x14ac:dyDescent="0.25">
      <c r="A5" s="148" t="s">
        <v>197</v>
      </c>
      <c r="B5" s="151">
        <v>15000</v>
      </c>
      <c r="C5" t="s">
        <v>196</v>
      </c>
    </row>
    <row r="6" spans="1:8" x14ac:dyDescent="0.25">
      <c r="A6" s="148" t="s">
        <v>194</v>
      </c>
      <c r="B6" s="121">
        <f>C6*D6*E6*F6</f>
        <v>1560</v>
      </c>
      <c r="C6" s="114">
        <v>2</v>
      </c>
      <c r="D6" s="114">
        <v>50</v>
      </c>
      <c r="E6" s="114">
        <v>12</v>
      </c>
      <c r="F6" s="115">
        <v>1.3</v>
      </c>
    </row>
    <row r="7" spans="1:8" x14ac:dyDescent="0.25">
      <c r="A7" s="148"/>
      <c r="C7" s="116" t="s">
        <v>126</v>
      </c>
      <c r="D7" s="116" t="s">
        <v>129</v>
      </c>
      <c r="E7" s="116" t="s">
        <v>127</v>
      </c>
      <c r="F7" s="116" t="s">
        <v>128</v>
      </c>
    </row>
    <row r="8" spans="1:8" x14ac:dyDescent="0.25">
      <c r="A8" s="148" t="s">
        <v>195</v>
      </c>
      <c r="B8" s="121">
        <f>C8*D8*E8*F8</f>
        <v>1872</v>
      </c>
      <c r="C8" s="114">
        <v>1</v>
      </c>
      <c r="D8" s="114">
        <v>120</v>
      </c>
      <c r="E8" s="114">
        <v>12</v>
      </c>
      <c r="F8" s="115">
        <v>1.3</v>
      </c>
    </row>
    <row r="9" spans="1:8" x14ac:dyDescent="0.25">
      <c r="A9" s="148"/>
      <c r="C9" s="116" t="s">
        <v>126</v>
      </c>
      <c r="D9" s="116" t="s">
        <v>129</v>
      </c>
      <c r="E9" s="116" t="s">
        <v>127</v>
      </c>
      <c r="F9" s="116" t="s">
        <v>128</v>
      </c>
    </row>
    <row r="10" spans="1:8" x14ac:dyDescent="0.25">
      <c r="A10" s="148"/>
      <c r="B10" s="112">
        <f>B5+B6+B8</f>
        <v>18432</v>
      </c>
      <c r="C10" s="184"/>
      <c r="D10" s="184" t="s">
        <v>249</v>
      </c>
      <c r="E10" s="184"/>
      <c r="F10" s="184"/>
      <c r="G10" s="147"/>
      <c r="H10" s="147"/>
    </row>
    <row r="11" spans="1:8" x14ac:dyDescent="0.25">
      <c r="A11" s="148"/>
      <c r="B11" s="112"/>
      <c r="C11" s="185" t="s">
        <v>250</v>
      </c>
      <c r="D11" s="184"/>
      <c r="E11" s="184"/>
      <c r="F11" s="184"/>
      <c r="G11" s="147"/>
      <c r="H11" s="147"/>
    </row>
    <row r="12" spans="1:8" x14ac:dyDescent="0.25">
      <c r="A12" t="s">
        <v>202</v>
      </c>
    </row>
    <row r="13" spans="1:8" x14ac:dyDescent="0.25">
      <c r="A13" t="s">
        <v>201</v>
      </c>
      <c r="B13" s="152" t="s">
        <v>198</v>
      </c>
      <c r="C13" t="s">
        <v>199</v>
      </c>
    </row>
    <row r="14" spans="1:8" x14ac:dyDescent="0.25">
      <c r="A14" t="s">
        <v>200</v>
      </c>
      <c r="B14" s="137">
        <v>1234</v>
      </c>
      <c r="C14" s="146" t="s">
        <v>165</v>
      </c>
      <c r="D14" s="146"/>
      <c r="E14" s="121"/>
      <c r="F14" s="112"/>
    </row>
    <row r="16" spans="1:8" ht="15.75" thickBot="1" x14ac:dyDescent="0.3">
      <c r="A16" t="s">
        <v>172</v>
      </c>
    </row>
    <row r="17" spans="1:10" x14ac:dyDescent="0.25">
      <c r="A17" s="600" t="s">
        <v>101</v>
      </c>
      <c r="B17" s="602" t="s">
        <v>102</v>
      </c>
      <c r="C17" s="604">
        <v>300</v>
      </c>
      <c r="D17" s="598" t="s">
        <v>103</v>
      </c>
      <c r="F17" s="145"/>
      <c r="G17" s="145"/>
      <c r="H17" s="145"/>
      <c r="I17" s="145"/>
      <c r="J17" s="145"/>
    </row>
    <row r="18" spans="1:10" ht="15.75" thickBot="1" x14ac:dyDescent="0.3">
      <c r="A18" s="601"/>
      <c r="B18" s="603"/>
      <c r="C18" s="605"/>
      <c r="D18" s="606"/>
    </row>
    <row r="19" spans="1:10" x14ac:dyDescent="0.25">
      <c r="A19" s="153" t="s">
        <v>203</v>
      </c>
      <c r="B19" s="154">
        <f>C17+C19</f>
        <v>1548</v>
      </c>
      <c r="C19" s="113">
        <f>D19*E19*F19*G19</f>
        <v>1248</v>
      </c>
      <c r="D19" s="114">
        <v>2</v>
      </c>
      <c r="E19" s="114">
        <v>40</v>
      </c>
      <c r="F19" s="114">
        <v>12</v>
      </c>
      <c r="G19" s="115">
        <v>1.3</v>
      </c>
      <c r="I19" s="155"/>
    </row>
    <row r="20" spans="1:10" x14ac:dyDescent="0.25">
      <c r="A20" s="153"/>
      <c r="B20" s="156"/>
      <c r="C20" t="s">
        <v>125</v>
      </c>
      <c r="D20" s="116" t="s">
        <v>126</v>
      </c>
      <c r="E20" s="116" t="s">
        <v>129</v>
      </c>
      <c r="F20" s="116" t="s">
        <v>127</v>
      </c>
      <c r="G20" s="116" t="s">
        <v>128</v>
      </c>
      <c r="I20" s="155"/>
    </row>
    <row r="21" spans="1:10" ht="15.75" thickBot="1" x14ac:dyDescent="0.3">
      <c r="A21" t="s">
        <v>173</v>
      </c>
    </row>
    <row r="22" spans="1:10" ht="60.75" thickBot="1" x14ac:dyDescent="0.3">
      <c r="A22" s="97" t="s">
        <v>91</v>
      </c>
      <c r="B22" s="98" t="s">
        <v>92</v>
      </c>
      <c r="C22" s="98" t="s">
        <v>174</v>
      </c>
      <c r="D22" s="98" t="s">
        <v>93</v>
      </c>
    </row>
    <row r="23" spans="1:10" ht="15.75" thickBot="1" x14ac:dyDescent="0.3">
      <c r="A23" s="104" t="s">
        <v>94</v>
      </c>
      <c r="B23" s="100" t="s">
        <v>95</v>
      </c>
      <c r="C23" s="100" t="s">
        <v>96</v>
      </c>
      <c r="D23" s="100"/>
    </row>
    <row r="24" spans="1:10" ht="15.75" thickBot="1" x14ac:dyDescent="0.3">
      <c r="A24" s="173" t="s">
        <v>210</v>
      </c>
      <c r="B24" s="100"/>
      <c r="C24" s="179">
        <v>12000</v>
      </c>
      <c r="D24" s="100"/>
      <c r="E24" t="s">
        <v>222</v>
      </c>
    </row>
    <row r="25" spans="1:10" ht="45" x14ac:dyDescent="0.25">
      <c r="A25" s="105" t="s">
        <v>175</v>
      </c>
      <c r="B25" s="105" t="s">
        <v>98</v>
      </c>
      <c r="C25" s="102" t="s">
        <v>176</v>
      </c>
      <c r="D25" s="105" t="s">
        <v>178</v>
      </c>
    </row>
    <row r="26" spans="1:10" x14ac:dyDescent="0.25">
      <c r="A26" s="149"/>
      <c r="B26" s="149"/>
      <c r="C26" s="111">
        <v>300</v>
      </c>
      <c r="D26" s="149"/>
    </row>
    <row r="27" spans="1:10" x14ac:dyDescent="0.25">
      <c r="A27" s="171" t="s">
        <v>211</v>
      </c>
      <c r="B27" s="174">
        <f>C26+C27</f>
        <v>1860</v>
      </c>
      <c r="C27" s="113">
        <f>D27*E27*F27*G27</f>
        <v>1560</v>
      </c>
      <c r="D27" s="114">
        <v>2</v>
      </c>
      <c r="E27" s="114">
        <v>50</v>
      </c>
      <c r="F27" s="114">
        <v>12</v>
      </c>
      <c r="G27" s="115">
        <v>1.3</v>
      </c>
    </row>
    <row r="28" spans="1:10" ht="15.75" thickBot="1" x14ac:dyDescent="0.3">
      <c r="A28" s="106"/>
      <c r="B28" s="156"/>
      <c r="C28" t="s">
        <v>125</v>
      </c>
      <c r="D28" s="116" t="s">
        <v>126</v>
      </c>
      <c r="E28" s="116" t="s">
        <v>129</v>
      </c>
      <c r="F28" s="116" t="s">
        <v>127</v>
      </c>
      <c r="G28" s="116" t="s">
        <v>128</v>
      </c>
    </row>
    <row r="29" spans="1:10" ht="91.15" customHeight="1" thickBot="1" x14ac:dyDescent="0.3">
      <c r="A29" s="105" t="s">
        <v>179</v>
      </c>
      <c r="B29" s="105" t="s">
        <v>102</v>
      </c>
      <c r="C29" s="102" t="s">
        <v>180</v>
      </c>
      <c r="D29" s="182" t="s">
        <v>246</v>
      </c>
    </row>
    <row r="30" spans="1:10" x14ac:dyDescent="0.25">
      <c r="A30" s="149"/>
      <c r="B30" s="158"/>
      <c r="C30" s="163">
        <f>950000/1000</f>
        <v>950</v>
      </c>
      <c r="D30" s="102"/>
    </row>
    <row r="31" spans="1:10" x14ac:dyDescent="0.25">
      <c r="A31" s="149"/>
      <c r="B31" s="158"/>
      <c r="C31" s="161">
        <f>-15000/1000</f>
        <v>-15</v>
      </c>
      <c r="D31" s="102"/>
    </row>
    <row r="32" spans="1:10" x14ac:dyDescent="0.25">
      <c r="A32" s="117"/>
      <c r="B32" s="157"/>
      <c r="C32" s="162">
        <f>D32*E32*F32*G32</f>
        <v>1560</v>
      </c>
      <c r="D32" s="159">
        <v>2</v>
      </c>
      <c r="E32" s="114">
        <v>50</v>
      </c>
      <c r="F32" s="114">
        <v>12</v>
      </c>
      <c r="G32" s="115">
        <v>1.3</v>
      </c>
      <c r="H32" s="147"/>
      <c r="I32" s="168" t="s">
        <v>209</v>
      </c>
      <c r="J32" s="147"/>
    </row>
    <row r="33" spans="1:10" x14ac:dyDescent="0.25">
      <c r="A33" s="149"/>
      <c r="B33" s="156"/>
      <c r="C33" s="164" t="s">
        <v>125</v>
      </c>
      <c r="D33" s="160" t="s">
        <v>126</v>
      </c>
      <c r="E33" s="116" t="s">
        <v>129</v>
      </c>
      <c r="F33" s="116" t="s">
        <v>127</v>
      </c>
      <c r="G33" s="116" t="s">
        <v>128</v>
      </c>
    </row>
    <row r="34" spans="1:10" x14ac:dyDescent="0.25">
      <c r="A34" s="149"/>
      <c r="B34" s="156"/>
      <c r="C34" s="162">
        <f>D34*E34*F34*G34</f>
        <v>1872</v>
      </c>
      <c r="D34" s="159">
        <v>1</v>
      </c>
      <c r="E34" s="114">
        <v>120</v>
      </c>
      <c r="F34" s="114">
        <v>12</v>
      </c>
      <c r="G34" s="115">
        <v>1.3</v>
      </c>
    </row>
    <row r="35" spans="1:10" ht="15.75" thickBot="1" x14ac:dyDescent="0.3">
      <c r="A35" s="149"/>
      <c r="B35" s="156"/>
      <c r="C35" s="165" t="s">
        <v>125</v>
      </c>
      <c r="D35" s="160" t="s">
        <v>126</v>
      </c>
      <c r="E35" s="116" t="s">
        <v>129</v>
      </c>
      <c r="F35" s="116" t="s">
        <v>127</v>
      </c>
      <c r="G35" s="116" t="s">
        <v>128</v>
      </c>
    </row>
    <row r="36" spans="1:10" ht="15.75" thickBot="1" x14ac:dyDescent="0.3">
      <c r="A36" s="171" t="s">
        <v>204</v>
      </c>
      <c r="B36" s="172">
        <f>C30+C31+C32+C34</f>
        <v>4367</v>
      </c>
      <c r="D36" s="155"/>
      <c r="E36" s="145" t="s">
        <v>251</v>
      </c>
      <c r="F36" s="155"/>
      <c r="G36" s="155"/>
    </row>
    <row r="37" spans="1:10" ht="60" x14ac:dyDescent="0.25">
      <c r="A37" s="598" t="s">
        <v>181</v>
      </c>
      <c r="B37" s="598" t="s">
        <v>105</v>
      </c>
      <c r="C37" s="102" t="s">
        <v>182</v>
      </c>
      <c r="D37" s="598" t="s">
        <v>247</v>
      </c>
    </row>
    <row r="38" spans="1:10" x14ac:dyDescent="0.25">
      <c r="A38" s="599"/>
      <c r="B38" s="599"/>
      <c r="C38" s="102" t="s">
        <v>177</v>
      </c>
      <c r="D38" s="599"/>
    </row>
    <row r="39" spans="1:10" x14ac:dyDescent="0.25">
      <c r="A39" s="54" t="s">
        <v>205</v>
      </c>
      <c r="B39" s="54"/>
      <c r="C39" s="166">
        <f>36000/1000</f>
        <v>36</v>
      </c>
      <c r="D39" s="54"/>
    </row>
    <row r="40" spans="1:10" x14ac:dyDescent="0.25">
      <c r="A40" s="54" t="s">
        <v>206</v>
      </c>
      <c r="B40" s="54"/>
      <c r="C40" s="166">
        <f>20000/1000</f>
        <v>20</v>
      </c>
      <c r="D40" s="54"/>
    </row>
    <row r="41" spans="1:10" x14ac:dyDescent="0.25">
      <c r="A41" s="54" t="s">
        <v>207</v>
      </c>
      <c r="B41" s="54"/>
      <c r="C41" s="167">
        <f>D41*E41*F41*G41</f>
        <v>1560</v>
      </c>
      <c r="D41" s="114">
        <v>2</v>
      </c>
      <c r="E41" s="159">
        <v>50</v>
      </c>
      <c r="F41" s="114">
        <v>12</v>
      </c>
      <c r="G41" s="115">
        <v>1.3</v>
      </c>
      <c r="H41" s="147"/>
      <c r="I41" s="168" t="s">
        <v>209</v>
      </c>
      <c r="J41" s="147"/>
    </row>
    <row r="42" spans="1:10" x14ac:dyDescent="0.25">
      <c r="A42" s="54"/>
      <c r="B42" s="54"/>
      <c r="C42" s="116" t="s">
        <v>125</v>
      </c>
      <c r="D42" s="116" t="s">
        <v>126</v>
      </c>
      <c r="E42" s="160" t="s">
        <v>129</v>
      </c>
      <c r="F42" s="116" t="s">
        <v>127</v>
      </c>
      <c r="G42" s="116" t="s">
        <v>128</v>
      </c>
    </row>
    <row r="43" spans="1:10" x14ac:dyDescent="0.25">
      <c r="A43" s="54"/>
      <c r="B43" s="54"/>
      <c r="C43" s="167">
        <f>D43*E43*F43*G43</f>
        <v>1872</v>
      </c>
      <c r="D43" s="114">
        <v>1</v>
      </c>
      <c r="E43" s="159">
        <v>120</v>
      </c>
      <c r="F43" s="114">
        <v>12</v>
      </c>
      <c r="G43" s="115">
        <v>1.3</v>
      </c>
    </row>
    <row r="44" spans="1:10" x14ac:dyDescent="0.25">
      <c r="A44" s="54"/>
      <c r="B44" s="54"/>
      <c r="C44" s="116" t="s">
        <v>125</v>
      </c>
      <c r="D44" s="116" t="s">
        <v>126</v>
      </c>
      <c r="E44" s="160" t="s">
        <v>129</v>
      </c>
      <c r="F44" s="116" t="s">
        <v>127</v>
      </c>
      <c r="G44" s="116" t="s">
        <v>128</v>
      </c>
    </row>
    <row r="45" spans="1:10" x14ac:dyDescent="0.25">
      <c r="A45" s="170" t="s">
        <v>208</v>
      </c>
      <c r="B45" s="169">
        <f>C39+C40+C41+C43</f>
        <v>3488</v>
      </c>
      <c r="D45" s="54"/>
      <c r="E45" s="145" t="s">
        <v>252</v>
      </c>
    </row>
    <row r="46" spans="1:10" ht="30.75" thickBot="1" x14ac:dyDescent="0.3">
      <c r="A46" s="106" t="s">
        <v>107</v>
      </c>
      <c r="B46" s="100" t="s">
        <v>108</v>
      </c>
      <c r="C46" s="100" t="s">
        <v>183</v>
      </c>
      <c r="D46" s="100" t="s">
        <v>184</v>
      </c>
      <c r="E46" s="175" t="s">
        <v>212</v>
      </c>
    </row>
    <row r="47" spans="1:10" ht="15.75" thickBot="1" x14ac:dyDescent="0.3">
      <c r="A47" s="106" t="s">
        <v>213</v>
      </c>
      <c r="B47" s="110">
        <v>6300</v>
      </c>
      <c r="C47" s="100"/>
      <c r="D47" s="100"/>
      <c r="E47" s="176"/>
    </row>
    <row r="48" spans="1:10" ht="15.75" thickBot="1" x14ac:dyDescent="0.3">
      <c r="A48" s="106" t="s">
        <v>214</v>
      </c>
      <c r="B48" s="110">
        <v>0</v>
      </c>
      <c r="C48" s="100"/>
      <c r="D48" s="100"/>
      <c r="E48" s="145" t="s">
        <v>253</v>
      </c>
    </row>
    <row r="49" spans="1:12" ht="15.75" thickBot="1" x14ac:dyDescent="0.3">
      <c r="A49" s="106" t="s">
        <v>110</v>
      </c>
      <c r="B49" s="100" t="s">
        <v>185</v>
      </c>
      <c r="C49" s="100">
        <v>0</v>
      </c>
      <c r="D49" s="100"/>
      <c r="E49" s="147" t="s">
        <v>215</v>
      </c>
      <c r="F49" s="147"/>
      <c r="G49" s="147"/>
      <c r="H49" s="147"/>
      <c r="I49" s="147"/>
      <c r="J49" s="147"/>
      <c r="K49" s="147"/>
      <c r="L49" s="147"/>
    </row>
    <row r="50" spans="1:12" ht="45" x14ac:dyDescent="0.25">
      <c r="A50" s="177" t="s">
        <v>186</v>
      </c>
      <c r="B50" s="177"/>
      <c r="C50" s="177"/>
      <c r="D50" s="177"/>
      <c r="E50" t="s">
        <v>216</v>
      </c>
    </row>
    <row r="51" spans="1:12" ht="45" x14ac:dyDescent="0.25">
      <c r="A51" s="177" t="s">
        <v>187</v>
      </c>
      <c r="B51" s="177" t="s">
        <v>217</v>
      </c>
      <c r="C51" s="177">
        <v>500</v>
      </c>
      <c r="D51" s="177" t="s">
        <v>218</v>
      </c>
      <c r="E51">
        <v>4000</v>
      </c>
      <c r="G51" t="s">
        <v>219</v>
      </c>
    </row>
    <row r="52" spans="1:12" x14ac:dyDescent="0.25">
      <c r="A52" s="177"/>
      <c r="B52" s="177"/>
      <c r="C52" s="177" t="s">
        <v>27</v>
      </c>
      <c r="D52" s="177"/>
      <c r="E52" t="s">
        <v>133</v>
      </c>
      <c r="G52" s="178" t="s">
        <v>221</v>
      </c>
      <c r="H52" s="178"/>
      <c r="I52" s="178"/>
      <c r="J52" s="178"/>
      <c r="K52" s="178"/>
      <c r="L52" s="178"/>
    </row>
    <row r="53" spans="1:12" x14ac:dyDescent="0.25">
      <c r="A53" s="177"/>
      <c r="B53" s="177"/>
      <c r="C53" s="177"/>
      <c r="D53" s="177"/>
      <c r="G53" s="178" t="s">
        <v>220</v>
      </c>
      <c r="H53" s="178"/>
      <c r="I53" s="178"/>
      <c r="J53" s="178"/>
      <c r="K53" s="178"/>
      <c r="L53" s="178"/>
    </row>
    <row r="54" spans="1:12" x14ac:dyDescent="0.25">
      <c r="A54" s="177" t="s">
        <v>224</v>
      </c>
      <c r="B54" s="108">
        <v>170</v>
      </c>
      <c r="C54" t="s">
        <v>27</v>
      </c>
    </row>
    <row r="55" spans="1:12" x14ac:dyDescent="0.25">
      <c r="A55" s="177" t="s">
        <v>223</v>
      </c>
      <c r="B55" s="108">
        <v>0.2</v>
      </c>
      <c r="C55" t="s">
        <v>146</v>
      </c>
    </row>
    <row r="56" spans="1:12" x14ac:dyDescent="0.25">
      <c r="A56" s="177" t="s">
        <v>225</v>
      </c>
      <c r="B56" s="108">
        <v>110</v>
      </c>
      <c r="C56" s="177" t="s">
        <v>147</v>
      </c>
    </row>
    <row r="57" spans="1:12" x14ac:dyDescent="0.25">
      <c r="A57" s="177" t="s">
        <v>226</v>
      </c>
      <c r="B57" s="108">
        <v>4</v>
      </c>
      <c r="C57" s="177" t="s">
        <v>228</v>
      </c>
    </row>
    <row r="58" spans="1:12" x14ac:dyDescent="0.25">
      <c r="A58" s="177" t="s">
        <v>227</v>
      </c>
      <c r="B58" s="108">
        <v>15</v>
      </c>
      <c r="C58" s="177" t="s">
        <v>228</v>
      </c>
    </row>
    <row r="59" spans="1:12" x14ac:dyDescent="0.25">
      <c r="A59" s="177" t="s">
        <v>229</v>
      </c>
      <c r="B59" s="121">
        <f>B54/B55</f>
        <v>850</v>
      </c>
      <c r="C59" s="177" t="s">
        <v>148</v>
      </c>
    </row>
    <row r="60" spans="1:12" x14ac:dyDescent="0.25">
      <c r="A60" s="177" t="s">
        <v>230</v>
      </c>
      <c r="B60" s="121">
        <f>B59*B56</f>
        <v>93500</v>
      </c>
      <c r="C60" s="177" t="s">
        <v>231</v>
      </c>
    </row>
    <row r="61" spans="1:12" x14ac:dyDescent="0.25">
      <c r="A61" s="177" t="s">
        <v>232</v>
      </c>
      <c r="B61" s="121">
        <f>B60*B58/1000</f>
        <v>1402.5</v>
      </c>
      <c r="C61" s="150" t="s">
        <v>233</v>
      </c>
    </row>
    <row r="62" spans="1:12" x14ac:dyDescent="0.25">
      <c r="A62" s="177" t="s">
        <v>234</v>
      </c>
      <c r="B62" s="121">
        <f>B60*B57/1000</f>
        <v>374</v>
      </c>
      <c r="C62" s="150" t="s">
        <v>233</v>
      </c>
    </row>
    <row r="63" spans="1:12" x14ac:dyDescent="0.25">
      <c r="A63" s="177" t="s">
        <v>236</v>
      </c>
      <c r="B63" s="121">
        <f>B61-B62</f>
        <v>1028.5</v>
      </c>
      <c r="C63" s="150" t="s">
        <v>233</v>
      </c>
    </row>
    <row r="64" spans="1:12" x14ac:dyDescent="0.25">
      <c r="A64" s="177" t="s">
        <v>235</v>
      </c>
      <c r="B64" s="126">
        <f>B63/B62</f>
        <v>2.75</v>
      </c>
      <c r="C64" s="150"/>
    </row>
    <row r="65" spans="1:5" x14ac:dyDescent="0.25">
      <c r="A65" s="177" t="s">
        <v>237</v>
      </c>
      <c r="B65" s="180">
        <f>B59*B55</f>
        <v>170</v>
      </c>
      <c r="C65" s="150" t="s">
        <v>27</v>
      </c>
    </row>
    <row r="66" spans="1:5" x14ac:dyDescent="0.25">
      <c r="A66" s="177" t="s">
        <v>238</v>
      </c>
      <c r="B66" s="108">
        <v>50</v>
      </c>
      <c r="C66" s="150" t="s">
        <v>242</v>
      </c>
    </row>
    <row r="67" spans="1:5" x14ac:dyDescent="0.25">
      <c r="A67" s="177" t="s">
        <v>239</v>
      </c>
      <c r="B67" s="121">
        <f>B66*B65/1000</f>
        <v>8.5</v>
      </c>
      <c r="C67" s="150" t="s">
        <v>233</v>
      </c>
    </row>
    <row r="68" spans="1:5" x14ac:dyDescent="0.25">
      <c r="A68" s="177" t="s">
        <v>240</v>
      </c>
      <c r="B68" s="113">
        <v>350</v>
      </c>
      <c r="C68" s="150" t="s">
        <v>242</v>
      </c>
    </row>
    <row r="69" spans="1:5" x14ac:dyDescent="0.25">
      <c r="A69" s="177" t="s">
        <v>241</v>
      </c>
      <c r="B69" s="121">
        <f>B68*B65/1000</f>
        <v>59.5</v>
      </c>
      <c r="C69" s="150" t="s">
        <v>233</v>
      </c>
    </row>
    <row r="70" spans="1:5" x14ac:dyDescent="0.25">
      <c r="A70" s="177" t="s">
        <v>255</v>
      </c>
      <c r="B70" s="121">
        <f>B62-B67</f>
        <v>365.5</v>
      </c>
      <c r="C70" s="150" t="s">
        <v>233</v>
      </c>
    </row>
    <row r="71" spans="1:5" x14ac:dyDescent="0.25">
      <c r="A71" s="177" t="s">
        <v>256</v>
      </c>
      <c r="B71" s="121">
        <f>B70</f>
        <v>365.5</v>
      </c>
      <c r="C71" s="150" t="s">
        <v>233</v>
      </c>
    </row>
    <row r="72" spans="1:5" x14ac:dyDescent="0.25">
      <c r="A72" s="177" t="s">
        <v>243</v>
      </c>
      <c r="B72" s="121">
        <f>B71+B69</f>
        <v>425</v>
      </c>
      <c r="C72" s="150" t="s">
        <v>233</v>
      </c>
    </row>
    <row r="73" spans="1:5" x14ac:dyDescent="0.25">
      <c r="A73" s="177" t="s">
        <v>245</v>
      </c>
      <c r="B73" s="121">
        <f>B61-B72</f>
        <v>977.5</v>
      </c>
      <c r="C73" s="150" t="s">
        <v>233</v>
      </c>
    </row>
    <row r="74" spans="1:5" x14ac:dyDescent="0.25">
      <c r="A74" s="177" t="s">
        <v>244</v>
      </c>
      <c r="B74" s="181">
        <f>B73/B72</f>
        <v>2.2999999999999998</v>
      </c>
    </row>
    <row r="76" spans="1:5" x14ac:dyDescent="0.25">
      <c r="A76" s="48" t="s">
        <v>188</v>
      </c>
    </row>
    <row r="78" spans="1:5" x14ac:dyDescent="0.25">
      <c r="A78" s="38" t="s">
        <v>166</v>
      </c>
      <c r="B78" s="38"/>
      <c r="C78" s="116">
        <f>B54</f>
        <v>170</v>
      </c>
      <c r="D78" s="187">
        <f>4</f>
        <v>4</v>
      </c>
      <c r="E78" s="116">
        <f>C78*D78</f>
        <v>680</v>
      </c>
    </row>
    <row r="79" spans="1:5" s="37" customFormat="1" ht="12" x14ac:dyDescent="0.2">
      <c r="A79" s="40"/>
      <c r="B79" s="40"/>
      <c r="C79" s="186" t="s">
        <v>167</v>
      </c>
      <c r="D79" s="186" t="s">
        <v>168</v>
      </c>
      <c r="E79" s="186" t="s">
        <v>121</v>
      </c>
    </row>
    <row r="80" spans="1:5" x14ac:dyDescent="0.25">
      <c r="A80" s="38" t="s">
        <v>169</v>
      </c>
      <c r="B80" s="38"/>
      <c r="C80" s="116">
        <f>C78</f>
        <v>170</v>
      </c>
      <c r="D80" s="116">
        <f>B58</f>
        <v>15</v>
      </c>
      <c r="E80" s="116">
        <f>C80*D80</f>
        <v>2550</v>
      </c>
    </row>
  </sheetData>
  <mergeCells count="7">
    <mergeCell ref="A37:A38"/>
    <mergeCell ref="B37:B38"/>
    <mergeCell ref="D37:D38"/>
    <mergeCell ref="A17:A18"/>
    <mergeCell ref="B17:B18"/>
    <mergeCell ref="C17:C18"/>
    <mergeCell ref="D17:D18"/>
  </mergeCells>
  <pageMargins left="0.70866141732283472" right="0.70866141732283472" top="0.74803149606299213" bottom="0.3" header="0.31496062992125984" footer="0.31496062992125984"/>
  <pageSetup paperSize="9" scale="71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80" zoomScaleNormal="80" workbookViewId="0">
      <selection activeCell="C15" sqref="C15"/>
    </sheetView>
  </sheetViews>
  <sheetFormatPr defaultRowHeight="15" x14ac:dyDescent="0.25"/>
  <cols>
    <col min="1" max="1" width="36.7109375" customWidth="1"/>
    <col min="2" max="2" width="6.7109375" bestFit="1" customWidth="1"/>
    <col min="3" max="4" width="8.85546875" style="94"/>
    <col min="5" max="5" width="2.140625" style="94" customWidth="1"/>
    <col min="7" max="7" width="13.140625" customWidth="1"/>
  </cols>
  <sheetData>
    <row r="1" spans="1:9" ht="36.6" customHeight="1" x14ac:dyDescent="0.25">
      <c r="A1" s="386" t="s">
        <v>290</v>
      </c>
      <c r="B1" s="4"/>
      <c r="C1" s="387"/>
      <c r="D1" s="388"/>
      <c r="F1" s="542" t="s">
        <v>404</v>
      </c>
      <c r="G1" s="543"/>
      <c r="I1" s="202"/>
    </row>
    <row r="2" spans="1:9" ht="21" x14ac:dyDescent="0.35">
      <c r="A2" s="333" t="s">
        <v>273</v>
      </c>
      <c r="B2" s="8"/>
      <c r="C2" s="389" t="s">
        <v>274</v>
      </c>
      <c r="D2" s="390" t="s">
        <v>275</v>
      </c>
      <c r="F2" s="202"/>
      <c r="I2" s="202"/>
    </row>
    <row r="3" spans="1:9" ht="15.75" x14ac:dyDescent="0.25">
      <c r="A3" s="353" t="s">
        <v>281</v>
      </c>
      <c r="B3" s="8"/>
      <c r="C3" s="402">
        <f>ИсхСел!$B$19*ИсхСем!$C$15/2</f>
        <v>800.00000000000011</v>
      </c>
      <c r="D3" s="392"/>
      <c r="F3" s="206">
        <v>17</v>
      </c>
      <c r="I3" s="202"/>
    </row>
    <row r="4" spans="1:9" ht="15.75" x14ac:dyDescent="0.25">
      <c r="A4" s="348"/>
      <c r="B4" s="8"/>
      <c r="C4" s="402">
        <f>ИсхСел!$B$19*ИсхСем!$C$15/2</f>
        <v>800.00000000000011</v>
      </c>
      <c r="D4" s="403">
        <f>ИсхСел!$B$19*ИсхСел!$B$20</f>
        <v>2040</v>
      </c>
      <c r="E4" s="315"/>
      <c r="F4" s="206">
        <v>18</v>
      </c>
      <c r="I4" s="202"/>
    </row>
    <row r="5" spans="1:9" ht="15.75" x14ac:dyDescent="0.25">
      <c r="A5" s="348"/>
      <c r="B5" s="8"/>
      <c r="C5" s="391"/>
      <c r="D5" s="393"/>
      <c r="F5" s="202"/>
      <c r="I5" s="202"/>
    </row>
    <row r="6" spans="1:9" ht="21" x14ac:dyDescent="0.35">
      <c r="A6" s="333" t="s">
        <v>285</v>
      </c>
      <c r="B6" s="8"/>
      <c r="C6" s="394" t="s">
        <v>274</v>
      </c>
      <c r="D6" s="393" t="s">
        <v>275</v>
      </c>
      <c r="F6" s="202"/>
    </row>
    <row r="7" spans="1:9" ht="15.75" x14ac:dyDescent="0.25">
      <c r="A7" s="353" t="s">
        <v>281</v>
      </c>
      <c r="B7" s="8"/>
      <c r="C7" s="402">
        <f>ИсхСел!$E$25*ИсхСем!$C$15/2</f>
        <v>800.00000000000011</v>
      </c>
      <c r="D7" s="403"/>
      <c r="F7" s="206">
        <v>8</v>
      </c>
    </row>
    <row r="8" spans="1:9" ht="15.75" x14ac:dyDescent="0.25">
      <c r="A8" s="7"/>
      <c r="B8" s="8"/>
      <c r="C8" s="402">
        <f>ИсхСел!$E$25*ИсхСем!$C$15/2</f>
        <v>800.00000000000011</v>
      </c>
      <c r="D8" s="403">
        <f>ИсхСел!$E$25*ИсхСел!$E$26</f>
        <v>2040</v>
      </c>
      <c r="E8" s="315"/>
      <c r="F8" s="206">
        <v>9</v>
      </c>
    </row>
    <row r="9" spans="1:9" x14ac:dyDescent="0.25">
      <c r="A9" s="7"/>
      <c r="B9" s="8"/>
      <c r="C9" s="300"/>
      <c r="D9" s="395"/>
      <c r="F9" t="s">
        <v>385</v>
      </c>
    </row>
    <row r="10" spans="1:9" x14ac:dyDescent="0.25">
      <c r="A10" s="7"/>
      <c r="B10" s="8"/>
      <c r="C10" s="300"/>
      <c r="D10" s="395"/>
    </row>
    <row r="11" spans="1:9" ht="15.75" x14ac:dyDescent="0.25">
      <c r="A11" s="353" t="s">
        <v>383</v>
      </c>
      <c r="B11" s="334"/>
      <c r="C11" s="300"/>
      <c r="D11" s="395"/>
    </row>
    <row r="12" spans="1:9" ht="21" x14ac:dyDescent="0.35">
      <c r="A12" s="333" t="s">
        <v>322</v>
      </c>
      <c r="B12" s="334"/>
      <c r="C12" s="300"/>
      <c r="D12" s="395"/>
    </row>
    <row r="13" spans="1:9" ht="31.5" x14ac:dyDescent="0.25">
      <c r="A13" s="342" t="s">
        <v>376</v>
      </c>
      <c r="B13" s="335"/>
      <c r="C13" s="396">
        <f>ИсхСел!B20</f>
        <v>4</v>
      </c>
      <c r="D13" s="395"/>
    </row>
    <row r="14" spans="1:9" ht="16.5" thickBot="1" x14ac:dyDescent="0.3">
      <c r="A14" s="342" t="s">
        <v>403</v>
      </c>
      <c r="B14" s="335"/>
      <c r="C14" s="397">
        <f>25%*1.1</f>
        <v>0.27500000000000002</v>
      </c>
      <c r="D14" s="395"/>
    </row>
    <row r="15" spans="1:9" ht="32.25" thickBot="1" x14ac:dyDescent="0.3">
      <c r="A15" s="342" t="s">
        <v>384</v>
      </c>
      <c r="B15" s="8"/>
      <c r="C15" s="385">
        <f>C13/(1+C14)</f>
        <v>3.1372549019607847</v>
      </c>
      <c r="D15" s="395"/>
    </row>
    <row r="16" spans="1:9" ht="15.75" thickBot="1" x14ac:dyDescent="0.3">
      <c r="A16" s="17"/>
      <c r="B16" s="18"/>
      <c r="C16" s="398"/>
      <c r="D16" s="399"/>
    </row>
  </sheetData>
  <mergeCells count="1">
    <mergeCell ref="F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43" workbookViewId="0">
      <selection activeCell="A53" sqref="A53:E55"/>
    </sheetView>
  </sheetViews>
  <sheetFormatPr defaultRowHeight="15" x14ac:dyDescent="0.25"/>
  <cols>
    <col min="1" max="1" width="26.7109375" customWidth="1"/>
    <col min="2" max="2" width="12" customWidth="1"/>
    <col min="3" max="3" width="14.5703125" customWidth="1"/>
    <col min="4" max="4" width="17.7109375" customWidth="1"/>
    <col min="5" max="5" width="14.28515625" customWidth="1"/>
    <col min="6" max="6" width="5.7109375" customWidth="1"/>
    <col min="8" max="9" width="6.42578125" style="112" customWidth="1"/>
  </cols>
  <sheetData>
    <row r="1" spans="1:9" x14ac:dyDescent="0.25">
      <c r="A1" t="s">
        <v>90</v>
      </c>
    </row>
    <row r="2" spans="1:9" x14ac:dyDescent="0.25">
      <c r="A2" t="s">
        <v>115</v>
      </c>
      <c r="E2" s="108" t="s">
        <v>114</v>
      </c>
      <c r="F2" t="s">
        <v>164</v>
      </c>
    </row>
    <row r="3" spans="1:9" x14ac:dyDescent="0.25">
      <c r="A3" t="s">
        <v>116</v>
      </c>
      <c r="E3" s="137">
        <v>345</v>
      </c>
      <c r="F3" s="146" t="s">
        <v>165</v>
      </c>
      <c r="G3" s="146"/>
      <c r="H3" s="121"/>
    </row>
    <row r="5" spans="1:9" x14ac:dyDescent="0.25">
      <c r="A5" t="s">
        <v>117</v>
      </c>
    </row>
    <row r="6" spans="1:9" x14ac:dyDescent="0.25">
      <c r="A6" t="s">
        <v>118</v>
      </c>
      <c r="E6" s="108" t="s">
        <v>119</v>
      </c>
    </row>
    <row r="7" spans="1:9" x14ac:dyDescent="0.25">
      <c r="A7" t="s">
        <v>120</v>
      </c>
      <c r="E7" s="137">
        <v>456</v>
      </c>
      <c r="F7" s="146" t="s">
        <v>165</v>
      </c>
      <c r="G7" s="146"/>
      <c r="H7" s="121"/>
    </row>
    <row r="8" spans="1:9" x14ac:dyDescent="0.25">
      <c r="A8" s="94"/>
      <c r="B8" s="94"/>
      <c r="C8" s="94"/>
      <c r="D8" s="94"/>
      <c r="E8" s="118"/>
    </row>
    <row r="9" spans="1:9" x14ac:dyDescent="0.25">
      <c r="A9" t="s">
        <v>122</v>
      </c>
    </row>
    <row r="10" spans="1:9" x14ac:dyDescent="0.25">
      <c r="C10" s="109" t="s">
        <v>123</v>
      </c>
      <c r="E10" s="108">
        <f>C17+E17</f>
        <v>1548</v>
      </c>
      <c r="F10" t="s">
        <v>121</v>
      </c>
    </row>
    <row r="11" spans="1:9" x14ac:dyDescent="0.25">
      <c r="E11" s="137">
        <v>300</v>
      </c>
      <c r="F11" s="147" t="s">
        <v>165</v>
      </c>
      <c r="G11" s="146"/>
      <c r="H11" s="121"/>
    </row>
    <row r="12" spans="1:9" ht="15.75" thickBot="1" x14ac:dyDescent="0.3">
      <c r="A12" t="s">
        <v>124</v>
      </c>
    </row>
    <row r="13" spans="1:9" ht="75.75" thickBot="1" x14ac:dyDescent="0.3">
      <c r="A13" s="97" t="s">
        <v>91</v>
      </c>
      <c r="B13" s="98" t="s">
        <v>92</v>
      </c>
      <c r="C13" s="98" t="s">
        <v>113</v>
      </c>
      <c r="D13" s="98" t="s">
        <v>93</v>
      </c>
    </row>
    <row r="14" spans="1:9" ht="30.75" thickBot="1" x14ac:dyDescent="0.3">
      <c r="A14" s="99" t="s">
        <v>94</v>
      </c>
      <c r="B14" s="110" t="s">
        <v>95</v>
      </c>
      <c r="C14" s="100" t="s">
        <v>96</v>
      </c>
      <c r="D14" s="100"/>
    </row>
    <row r="15" spans="1:9" ht="30.75" thickBot="1" x14ac:dyDescent="0.3">
      <c r="A15" s="99" t="s">
        <v>97</v>
      </c>
      <c r="B15" s="110" t="s">
        <v>98</v>
      </c>
      <c r="C15" s="100" t="s">
        <v>99</v>
      </c>
      <c r="D15" s="100" t="s">
        <v>100</v>
      </c>
      <c r="E15" s="113">
        <f>F15*G15*H15*I15</f>
        <v>780</v>
      </c>
      <c r="F15" s="114">
        <v>1</v>
      </c>
      <c r="G15" s="114">
        <v>50</v>
      </c>
      <c r="H15" s="114">
        <v>12</v>
      </c>
      <c r="I15" s="115">
        <v>1.3</v>
      </c>
    </row>
    <row r="16" spans="1:9" ht="15.75" thickBot="1" x14ac:dyDescent="0.3">
      <c r="A16" s="101"/>
      <c r="B16" s="111"/>
      <c r="C16" s="102"/>
      <c r="D16" s="102"/>
      <c r="E16" t="s">
        <v>125</v>
      </c>
      <c r="F16" s="116" t="s">
        <v>126</v>
      </c>
      <c r="G16" s="116" t="s">
        <v>129</v>
      </c>
      <c r="H16" s="116" t="s">
        <v>127</v>
      </c>
      <c r="I16" s="116" t="s">
        <v>128</v>
      </c>
    </row>
    <row r="17" spans="1:10" ht="32.450000000000003" customHeight="1" x14ac:dyDescent="0.25">
      <c r="A17" s="600" t="s">
        <v>101</v>
      </c>
      <c r="B17" s="602" t="s">
        <v>102</v>
      </c>
      <c r="C17" s="604">
        <v>300</v>
      </c>
      <c r="D17" s="598" t="s">
        <v>103</v>
      </c>
      <c r="E17" s="113">
        <f>F17*G17*H17*I17</f>
        <v>1248</v>
      </c>
      <c r="F17" s="114">
        <v>2</v>
      </c>
      <c r="G17" s="114">
        <v>40</v>
      </c>
      <c r="H17" s="114">
        <v>12</v>
      </c>
      <c r="I17" s="115">
        <v>1.3</v>
      </c>
    </row>
    <row r="18" spans="1:10" ht="15.75" thickBot="1" x14ac:dyDescent="0.3">
      <c r="A18" s="601"/>
      <c r="B18" s="603"/>
      <c r="C18" s="605"/>
      <c r="D18" s="606"/>
      <c r="E18" t="s">
        <v>125</v>
      </c>
      <c r="F18" s="116" t="s">
        <v>126</v>
      </c>
      <c r="G18" s="116" t="s">
        <v>129</v>
      </c>
      <c r="H18" s="116" t="s">
        <v>127</v>
      </c>
      <c r="I18" s="116" t="s">
        <v>128</v>
      </c>
    </row>
    <row r="19" spans="1:10" ht="15.75" thickBot="1" x14ac:dyDescent="0.3">
      <c r="A19" s="103" t="s">
        <v>104</v>
      </c>
      <c r="B19" s="100" t="s">
        <v>105</v>
      </c>
      <c r="C19" s="138">
        <f>C17/8</f>
        <v>37.5</v>
      </c>
      <c r="D19" s="100" t="s">
        <v>106</v>
      </c>
      <c r="E19" s="138">
        <f>E17/8</f>
        <v>156</v>
      </c>
      <c r="F19" s="114"/>
      <c r="G19" s="114"/>
      <c r="H19" s="114"/>
      <c r="I19" s="115">
        <v>1.3</v>
      </c>
      <c r="J19" s="145" t="s">
        <v>170</v>
      </c>
    </row>
    <row r="20" spans="1:10" ht="15.75" thickBot="1" x14ac:dyDescent="0.3">
      <c r="A20" s="103"/>
      <c r="B20" s="100"/>
      <c r="C20" s="100"/>
      <c r="D20" s="100"/>
      <c r="E20" t="s">
        <v>125</v>
      </c>
      <c r="F20" s="116" t="s">
        <v>126</v>
      </c>
      <c r="G20" s="116" t="s">
        <v>129</v>
      </c>
      <c r="H20" s="116" t="s">
        <v>127</v>
      </c>
      <c r="I20" s="116" t="s">
        <v>128</v>
      </c>
    </row>
    <row r="21" spans="1:10" ht="30.75" thickBot="1" x14ac:dyDescent="0.3">
      <c r="A21" s="103" t="s">
        <v>107</v>
      </c>
      <c r="B21" s="100" t="s">
        <v>108</v>
      </c>
      <c r="C21" s="138">
        <f>C17/10</f>
        <v>30</v>
      </c>
      <c r="D21" s="100" t="s">
        <v>109</v>
      </c>
      <c r="E21" s="113">
        <f>E17/10</f>
        <v>124.8</v>
      </c>
      <c r="F21" s="114"/>
      <c r="G21" s="114"/>
      <c r="H21" s="114"/>
      <c r="I21" s="115">
        <v>1.3</v>
      </c>
      <c r="J21" s="147" t="s">
        <v>171</v>
      </c>
    </row>
    <row r="22" spans="1:10" ht="15.75" thickBot="1" x14ac:dyDescent="0.3">
      <c r="A22" s="103"/>
      <c r="B22" s="100"/>
      <c r="C22" s="100"/>
      <c r="D22" s="100"/>
      <c r="E22" t="s">
        <v>125</v>
      </c>
      <c r="F22" s="116" t="s">
        <v>126</v>
      </c>
      <c r="G22" s="116" t="s">
        <v>129</v>
      </c>
      <c r="H22" s="116" t="s">
        <v>127</v>
      </c>
      <c r="I22" s="116" t="s">
        <v>128</v>
      </c>
    </row>
    <row r="23" spans="1:10" ht="45.75" thickBot="1" x14ac:dyDescent="0.3">
      <c r="A23" s="103" t="s">
        <v>110</v>
      </c>
      <c r="B23" s="100" t="s">
        <v>111</v>
      </c>
      <c r="C23" s="100" t="s">
        <v>109</v>
      </c>
      <c r="D23" s="100"/>
      <c r="E23" s="113">
        <f>F23*G23*H23*I23</f>
        <v>0</v>
      </c>
      <c r="F23" s="114"/>
      <c r="G23" s="114"/>
      <c r="H23" s="114"/>
      <c r="I23" s="115">
        <v>1.3</v>
      </c>
    </row>
    <row r="24" spans="1:10" x14ac:dyDescent="0.25">
      <c r="A24" s="117"/>
      <c r="B24" s="117"/>
      <c r="C24" s="117"/>
      <c r="D24" s="117"/>
      <c r="E24" t="s">
        <v>125</v>
      </c>
      <c r="F24" s="116" t="s">
        <v>126</v>
      </c>
      <c r="G24" s="116" t="s">
        <v>129</v>
      </c>
      <c r="H24" s="116" t="s">
        <v>127</v>
      </c>
      <c r="I24" s="116" t="s">
        <v>128</v>
      </c>
    </row>
    <row r="25" spans="1:10" x14ac:dyDescent="0.25">
      <c r="A25" t="s">
        <v>112</v>
      </c>
    </row>
    <row r="26" spans="1:10" x14ac:dyDescent="0.25">
      <c r="B26" s="47" t="s">
        <v>130</v>
      </c>
      <c r="C26" s="47"/>
    </row>
    <row r="27" spans="1:10" x14ac:dyDescent="0.25">
      <c r="A27" t="s">
        <v>132</v>
      </c>
      <c r="H27" s="108">
        <v>100</v>
      </c>
      <c r="I27" s="119" t="s">
        <v>131</v>
      </c>
    </row>
    <row r="28" spans="1:10" x14ac:dyDescent="0.25">
      <c r="F28" t="s">
        <v>134</v>
      </c>
      <c r="H28" s="120">
        <v>4000</v>
      </c>
      <c r="I28" s="112" t="s">
        <v>133</v>
      </c>
    </row>
    <row r="29" spans="1:10" x14ac:dyDescent="0.25">
      <c r="G29" s="109" t="s">
        <v>136</v>
      </c>
      <c r="H29" s="120">
        <v>2</v>
      </c>
      <c r="I29" s="112" t="s">
        <v>135</v>
      </c>
    </row>
    <row r="30" spans="1:10" x14ac:dyDescent="0.25">
      <c r="A30" t="s">
        <v>137</v>
      </c>
    </row>
    <row r="31" spans="1:10" x14ac:dyDescent="0.25">
      <c r="G31" s="109" t="s">
        <v>138</v>
      </c>
      <c r="H31" s="107">
        <v>35</v>
      </c>
      <c r="I31" s="112" t="s">
        <v>144</v>
      </c>
    </row>
    <row r="32" spans="1:10" x14ac:dyDescent="0.25">
      <c r="G32" s="109" t="s">
        <v>139</v>
      </c>
      <c r="H32" s="107">
        <v>0.2</v>
      </c>
      <c r="I32" s="112" t="s">
        <v>146</v>
      </c>
    </row>
    <row r="33" spans="1:9" x14ac:dyDescent="0.25">
      <c r="G33" s="109" t="s">
        <v>140</v>
      </c>
      <c r="H33" s="107">
        <v>110</v>
      </c>
      <c r="I33" s="112" t="s">
        <v>147</v>
      </c>
    </row>
    <row r="34" spans="1:9" x14ac:dyDescent="0.25">
      <c r="G34" s="109" t="s">
        <v>141</v>
      </c>
      <c r="H34" s="107">
        <v>4</v>
      </c>
      <c r="I34" s="112" t="s">
        <v>133</v>
      </c>
    </row>
    <row r="35" spans="1:9" x14ac:dyDescent="0.25">
      <c r="G35" s="109" t="s">
        <v>142</v>
      </c>
      <c r="H35" s="107">
        <v>15</v>
      </c>
      <c r="I35" s="112" t="s">
        <v>133</v>
      </c>
    </row>
    <row r="36" spans="1:9" x14ac:dyDescent="0.25">
      <c r="G36" s="109" t="s">
        <v>143</v>
      </c>
      <c r="H36" s="107" t="s">
        <v>145</v>
      </c>
      <c r="I36" s="107"/>
    </row>
    <row r="37" spans="1:9" x14ac:dyDescent="0.25">
      <c r="A37" t="s">
        <v>149</v>
      </c>
      <c r="C37" s="122">
        <f>H31</f>
        <v>35</v>
      </c>
      <c r="D37" s="122">
        <f>H32</f>
        <v>0.2</v>
      </c>
      <c r="E37" s="129">
        <f>C37/D37</f>
        <v>175</v>
      </c>
      <c r="F37" s="122" t="s">
        <v>148</v>
      </c>
    </row>
    <row r="38" spans="1:9" x14ac:dyDescent="0.25">
      <c r="A38" t="s">
        <v>150</v>
      </c>
      <c r="C38" s="122">
        <f>E37</f>
        <v>175</v>
      </c>
      <c r="D38" s="122">
        <f>H33</f>
        <v>110</v>
      </c>
      <c r="E38" s="129">
        <f>C38*D38</f>
        <v>19250</v>
      </c>
      <c r="F38" s="122" t="s">
        <v>151</v>
      </c>
    </row>
    <row r="39" spans="1:9" x14ac:dyDescent="0.25">
      <c r="A39" t="s">
        <v>152</v>
      </c>
      <c r="C39" s="122">
        <f>E38</f>
        <v>19250</v>
      </c>
      <c r="D39" s="122">
        <f>H35</f>
        <v>15</v>
      </c>
      <c r="E39" s="129">
        <f>C39*D39/1000</f>
        <v>288.75</v>
      </c>
      <c r="F39" s="124" t="s">
        <v>153</v>
      </c>
      <c r="G39" s="122"/>
    </row>
    <row r="40" spans="1:9" x14ac:dyDescent="0.25">
      <c r="A40" t="s">
        <v>154</v>
      </c>
      <c r="C40" s="125">
        <f>C39</f>
        <v>19250</v>
      </c>
      <c r="D40" s="125">
        <f>H34</f>
        <v>4</v>
      </c>
      <c r="E40" s="129">
        <f>C40*D40/1000</f>
        <v>77</v>
      </c>
      <c r="F40" s="124" t="s">
        <v>153</v>
      </c>
    </row>
    <row r="41" spans="1:9" x14ac:dyDescent="0.25">
      <c r="A41" s="119" t="s">
        <v>157</v>
      </c>
      <c r="C41" s="125">
        <f>E37*D37</f>
        <v>35</v>
      </c>
      <c r="D41" s="132">
        <v>350</v>
      </c>
      <c r="E41" s="129">
        <f>C41*D41/1000</f>
        <v>12.25</v>
      </c>
      <c r="F41" s="124" t="s">
        <v>153</v>
      </c>
      <c r="H41" s="112">
        <f>E37*0.2*350</f>
        <v>12250</v>
      </c>
    </row>
    <row r="42" spans="1:9" x14ac:dyDescent="0.25">
      <c r="A42" s="119" t="s">
        <v>158</v>
      </c>
      <c r="C42" s="125"/>
      <c r="D42" s="125"/>
      <c r="E42" s="129">
        <f>E40-E41</f>
        <v>64.75</v>
      </c>
      <c r="F42" s="124" t="s">
        <v>153</v>
      </c>
    </row>
    <row r="43" spans="1:9" x14ac:dyDescent="0.25">
      <c r="A43" t="s">
        <v>155</v>
      </c>
      <c r="E43" s="130">
        <f>E39-E40</f>
        <v>211.75</v>
      </c>
      <c r="F43" s="124" t="s">
        <v>153</v>
      </c>
    </row>
    <row r="44" spans="1:9" x14ac:dyDescent="0.25">
      <c r="A44" t="s">
        <v>156</v>
      </c>
      <c r="C44" s="123">
        <f>(H35-H34)/H34</f>
        <v>2.75</v>
      </c>
      <c r="E44" s="127">
        <f>E43/E40</f>
        <v>2.75</v>
      </c>
      <c r="F44" s="134"/>
      <c r="G44" s="94"/>
    </row>
    <row r="45" spans="1:9" x14ac:dyDescent="0.25">
      <c r="A45" t="s">
        <v>161</v>
      </c>
      <c r="C45" s="128">
        <f>C41</f>
        <v>35</v>
      </c>
      <c r="D45" s="108">
        <v>50</v>
      </c>
      <c r="E45" s="131">
        <f>C45*D45/1000</f>
        <v>1.75</v>
      </c>
      <c r="F45" s="124" t="s">
        <v>153</v>
      </c>
      <c r="H45" s="112">
        <f>E37*0.2*50</f>
        <v>1750</v>
      </c>
    </row>
    <row r="46" spans="1:9" x14ac:dyDescent="0.25">
      <c r="A46" t="s">
        <v>158</v>
      </c>
      <c r="E46" s="129">
        <f>E42</f>
        <v>64.75</v>
      </c>
    </row>
    <row r="47" spans="1:9" x14ac:dyDescent="0.25">
      <c r="A47" t="s">
        <v>159</v>
      </c>
      <c r="E47" s="133">
        <f>E45+E46</f>
        <v>66.5</v>
      </c>
    </row>
    <row r="48" spans="1:9" x14ac:dyDescent="0.25">
      <c r="A48" t="s">
        <v>160</v>
      </c>
      <c r="E48" s="133">
        <f>E39-E47</f>
        <v>222.25</v>
      </c>
    </row>
    <row r="49" spans="1:5" x14ac:dyDescent="0.25">
      <c r="A49" t="s">
        <v>156</v>
      </c>
      <c r="E49" s="126">
        <f>E48/E47</f>
        <v>3.3421052631578947</v>
      </c>
    </row>
    <row r="50" spans="1:5" x14ac:dyDescent="0.25">
      <c r="A50" t="s">
        <v>162</v>
      </c>
      <c r="E50" s="133">
        <f>E48-E43</f>
        <v>10.5</v>
      </c>
    </row>
    <row r="51" spans="1:5" x14ac:dyDescent="0.25">
      <c r="A51" t="s">
        <v>163</v>
      </c>
      <c r="E51" s="121">
        <f>(D41-D45)*C37/1000</f>
        <v>10.5</v>
      </c>
    </row>
    <row r="53" spans="1:5" x14ac:dyDescent="0.25">
      <c r="A53" s="38" t="s">
        <v>166</v>
      </c>
      <c r="B53" s="38"/>
      <c r="C53" s="116">
        <f>H31</f>
        <v>35</v>
      </c>
      <c r="D53" s="116">
        <f>H28/1000</f>
        <v>4</v>
      </c>
      <c r="E53" s="116">
        <f>C53*D53</f>
        <v>140</v>
      </c>
    </row>
    <row r="54" spans="1:5" x14ac:dyDescent="0.25">
      <c r="A54" s="38"/>
      <c r="B54" s="38"/>
      <c r="C54" s="116" t="s">
        <v>167</v>
      </c>
      <c r="D54" s="116" t="s">
        <v>168</v>
      </c>
      <c r="E54" s="116" t="s">
        <v>121</v>
      </c>
    </row>
    <row r="55" spans="1:5" x14ac:dyDescent="0.25">
      <c r="A55" s="38" t="s">
        <v>169</v>
      </c>
      <c r="B55" s="38"/>
      <c r="C55" s="116">
        <f>C53</f>
        <v>35</v>
      </c>
      <c r="D55" s="116">
        <f>D45</f>
        <v>50</v>
      </c>
      <c r="E55" s="116">
        <f>C55*D55</f>
        <v>1750</v>
      </c>
    </row>
  </sheetData>
  <mergeCells count="4">
    <mergeCell ref="A17:A18"/>
    <mergeCell ref="B17:B18"/>
    <mergeCell ref="C17:C18"/>
    <mergeCell ref="D17:D18"/>
  </mergeCells>
  <pageMargins left="0.70866141732283472" right="0.70866141732283472" top="0.3" bottom="0.35" header="0.31496062992125984" footer="0.31496062992125984"/>
  <pageSetup paperSize="9" scale="5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80" zoomScaleNormal="80" workbookViewId="0">
      <selection activeCell="B10" sqref="B10"/>
    </sheetView>
  </sheetViews>
  <sheetFormatPr defaultRowHeight="15" x14ac:dyDescent="0.25"/>
  <cols>
    <col min="1" max="1" width="42.85546875" customWidth="1"/>
    <col min="2" max="2" width="14.5703125" customWidth="1"/>
    <col min="3" max="3" width="4.5703125" customWidth="1"/>
    <col min="4" max="4" width="32" customWidth="1"/>
    <col min="6" max="6" width="8.85546875" customWidth="1"/>
    <col min="7" max="7" width="1.7109375" customWidth="1"/>
    <col min="8" max="8" width="13.140625" customWidth="1"/>
    <col min="9" max="9" width="4.5703125" customWidth="1"/>
  </cols>
  <sheetData>
    <row r="1" spans="1:15" ht="32.25" thickBot="1" x14ac:dyDescent="0.3">
      <c r="A1" s="359" t="s">
        <v>386</v>
      </c>
      <c r="B1" s="404">
        <f>ИсхСел!B23</f>
        <v>170</v>
      </c>
      <c r="C1" s="360"/>
      <c r="D1" s="543" t="s">
        <v>405</v>
      </c>
      <c r="E1" s="543"/>
    </row>
    <row r="2" spans="1:15" ht="21.75" thickBot="1" x14ac:dyDescent="0.4">
      <c r="A2" s="342" t="s">
        <v>388</v>
      </c>
      <c r="B2" s="316">
        <v>0.2</v>
      </c>
      <c r="C2" s="361"/>
      <c r="D2" s="400" t="s">
        <v>273</v>
      </c>
      <c r="E2" s="331"/>
      <c r="F2" s="331" t="s">
        <v>274</v>
      </c>
      <c r="G2" s="331"/>
      <c r="H2" s="332" t="s">
        <v>275</v>
      </c>
    </row>
    <row r="3" spans="1:15" ht="16.5" thickBot="1" x14ac:dyDescent="0.3">
      <c r="A3" s="342" t="s">
        <v>387</v>
      </c>
      <c r="B3" s="362">
        <f>B1/B2</f>
        <v>850</v>
      </c>
      <c r="C3" s="361"/>
      <c r="D3" s="401" t="s">
        <v>283</v>
      </c>
      <c r="E3" s="207" t="s">
        <v>284</v>
      </c>
      <c r="F3" s="354">
        <f>$B$11</f>
        <v>935000</v>
      </c>
      <c r="G3" s="335"/>
      <c r="H3" s="373">
        <f>$B$7</f>
        <v>2805000</v>
      </c>
    </row>
    <row r="4" spans="1:15" ht="16.5" thickBot="1" x14ac:dyDescent="0.3">
      <c r="A4" s="363" t="s">
        <v>389</v>
      </c>
      <c r="B4" s="330">
        <v>110</v>
      </c>
      <c r="C4" s="361"/>
      <c r="D4" s="335"/>
      <c r="E4" s="233" t="s">
        <v>314</v>
      </c>
      <c r="F4" s="354">
        <f>B14</f>
        <v>884000</v>
      </c>
      <c r="G4" s="335"/>
      <c r="H4" s="373">
        <f>$B$7</f>
        <v>2805000</v>
      </c>
      <c r="J4" s="368" t="s">
        <v>399</v>
      </c>
      <c r="K4" s="364"/>
      <c r="L4" s="364"/>
      <c r="M4" s="364"/>
      <c r="N4" s="364"/>
      <c r="O4" s="361"/>
    </row>
    <row r="5" spans="1:15" ht="16.5" thickBot="1" x14ac:dyDescent="0.3">
      <c r="A5" s="342" t="s">
        <v>390</v>
      </c>
      <c r="B5" s="365">
        <f>B3*B4</f>
        <v>93500</v>
      </c>
      <c r="C5" s="361"/>
      <c r="D5" s="335"/>
      <c r="E5" s="335"/>
      <c r="F5" s="354"/>
      <c r="G5" s="335"/>
      <c r="H5" s="337"/>
      <c r="J5" s="368" t="s">
        <v>400</v>
      </c>
      <c r="K5" s="364"/>
      <c r="L5" s="364"/>
      <c r="M5" s="364"/>
      <c r="N5" s="364"/>
      <c r="O5" s="366"/>
    </row>
    <row r="6" spans="1:15" ht="16.5" thickBot="1" x14ac:dyDescent="0.3">
      <c r="A6" s="367" t="s">
        <v>391</v>
      </c>
      <c r="B6" s="329">
        <f>30</f>
        <v>30</v>
      </c>
      <c r="C6" s="361"/>
      <c r="D6" s="335"/>
      <c r="E6" s="335"/>
      <c r="F6" s="354"/>
      <c r="G6" s="335"/>
      <c r="H6" s="337"/>
      <c r="J6" s="8"/>
      <c r="K6" s="8"/>
      <c r="L6" s="8"/>
      <c r="M6" s="8"/>
      <c r="N6" s="8"/>
      <c r="O6" s="361"/>
    </row>
    <row r="7" spans="1:15" ht="21.75" thickBot="1" x14ac:dyDescent="0.4">
      <c r="A7" s="342" t="s">
        <v>392</v>
      </c>
      <c r="B7" s="365">
        <f>B5*B6</f>
        <v>2805000</v>
      </c>
      <c r="C7" s="361"/>
      <c r="D7" s="336" t="s">
        <v>285</v>
      </c>
      <c r="E7" s="335"/>
      <c r="F7" s="335" t="s">
        <v>274</v>
      </c>
      <c r="G7" s="335"/>
      <c r="H7" s="337" t="s">
        <v>275</v>
      </c>
      <c r="J7" s="8"/>
      <c r="K7" s="8"/>
      <c r="L7" s="8"/>
      <c r="M7" s="8"/>
      <c r="N7" s="8"/>
      <c r="O7" s="361"/>
    </row>
    <row r="8" spans="1:15" ht="16.5" thickBot="1" x14ac:dyDescent="0.3">
      <c r="A8" s="367" t="s">
        <v>393</v>
      </c>
      <c r="B8" s="329">
        <v>10</v>
      </c>
      <c r="C8" s="361"/>
      <c r="D8" s="401" t="s">
        <v>283</v>
      </c>
      <c r="E8" s="214" t="s">
        <v>289</v>
      </c>
      <c r="F8" s="354">
        <f>$B$11</f>
        <v>935000</v>
      </c>
      <c r="G8" s="335"/>
      <c r="H8" s="373">
        <f>$B$7</f>
        <v>2805000</v>
      </c>
      <c r="J8" s="368" t="s">
        <v>401</v>
      </c>
      <c r="K8" s="369"/>
      <c r="L8" s="369"/>
      <c r="M8" s="8"/>
      <c r="N8" s="8"/>
      <c r="O8" s="361"/>
    </row>
    <row r="9" spans="1:15" ht="16.5" thickBot="1" x14ac:dyDescent="0.3">
      <c r="A9" s="342" t="s">
        <v>397</v>
      </c>
      <c r="B9" s="316">
        <v>350</v>
      </c>
      <c r="C9" s="361"/>
      <c r="D9" s="18"/>
      <c r="E9" s="374" t="s">
        <v>429</v>
      </c>
      <c r="F9" s="358">
        <f>B14</f>
        <v>884000</v>
      </c>
      <c r="G9" s="351"/>
      <c r="H9" s="375">
        <f>$B$7</f>
        <v>2805000</v>
      </c>
    </row>
    <row r="10" spans="1:15" ht="16.5" thickBot="1" x14ac:dyDescent="0.3">
      <c r="A10" s="342" t="s">
        <v>398</v>
      </c>
      <c r="B10" s="404">
        <f>ИсхСел!E30</f>
        <v>50</v>
      </c>
      <c r="C10" s="361"/>
    </row>
    <row r="11" spans="1:15" ht="31.5" x14ac:dyDescent="0.25">
      <c r="A11" s="342" t="s">
        <v>396</v>
      </c>
      <c r="B11" s="365">
        <f>B5*B8</f>
        <v>935000</v>
      </c>
      <c r="C11" s="361"/>
      <c r="D11" s="475">
        <f>B11/B5</f>
        <v>10</v>
      </c>
      <c r="E11" t="s">
        <v>463</v>
      </c>
    </row>
    <row r="12" spans="1:15" ht="15.75" x14ac:dyDescent="0.25">
      <c r="A12" s="370" t="s">
        <v>395</v>
      </c>
      <c r="B12" s="365">
        <f>B9*B1</f>
        <v>59500</v>
      </c>
      <c r="C12" s="361"/>
    </row>
    <row r="13" spans="1:15" ht="32.25" thickBot="1" x14ac:dyDescent="0.3">
      <c r="A13" s="342" t="s">
        <v>394</v>
      </c>
      <c r="B13" s="365">
        <f>B10*B1</f>
        <v>8500</v>
      </c>
      <c r="C13" s="361"/>
    </row>
    <row r="14" spans="1:15" ht="32.25" thickBot="1" x14ac:dyDescent="0.3">
      <c r="A14" s="371" t="s">
        <v>291</v>
      </c>
      <c r="B14" s="316">
        <f>B11-B12+B13</f>
        <v>884000</v>
      </c>
      <c r="C14" s="372"/>
      <c r="D14" s="475">
        <f>B14/B5</f>
        <v>9.454545454545455</v>
      </c>
      <c r="E14" t="s">
        <v>463</v>
      </c>
    </row>
    <row r="16" spans="1:15" x14ac:dyDescent="0.25">
      <c r="B16" s="428">
        <f>B14-B13</f>
        <v>875500</v>
      </c>
    </row>
    <row r="17" spans="2:2" x14ac:dyDescent="0.25">
      <c r="B17" s="428">
        <f>B11-B12</f>
        <v>875500</v>
      </c>
    </row>
  </sheetData>
  <mergeCells count="1">
    <mergeCell ref="D1:E1"/>
  </mergeCells>
  <pageMargins left="0.45" right="0.4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opLeftCell="A31" zoomScale="110" zoomScaleNormal="110" workbookViewId="0">
      <selection activeCell="X17" sqref="X17"/>
    </sheetView>
  </sheetViews>
  <sheetFormatPr defaultColWidth="8.85546875" defaultRowHeight="15" x14ac:dyDescent="0.25"/>
  <cols>
    <col min="1" max="1" width="27.140625" customWidth="1"/>
    <col min="2" max="5" width="7.7109375" style="21" customWidth="1"/>
    <col min="6" max="6" width="7.7109375" style="307" customWidth="1"/>
    <col min="7" max="11" width="7.7109375" style="21" customWidth="1"/>
    <col min="12" max="15" width="7.7109375" style="37" customWidth="1"/>
    <col min="16" max="17" width="7.28515625" style="37" customWidth="1"/>
    <col min="18" max="18" width="7" style="37" customWidth="1"/>
    <col min="19" max="19" width="7.7109375" style="37" customWidth="1"/>
    <col min="20" max="20" width="11.28515625" style="37" customWidth="1"/>
    <col min="21" max="22" width="7.85546875" style="37" customWidth="1"/>
    <col min="23" max="23" width="9.85546875" style="21" customWidth="1"/>
    <col min="24" max="24" width="10.28515625" style="21" customWidth="1"/>
    <col min="25" max="16384" width="8.85546875" style="94"/>
  </cols>
  <sheetData>
    <row r="1" spans="1:24" x14ac:dyDescent="0.25">
      <c r="A1" s="47" t="s">
        <v>45</v>
      </c>
      <c r="W1" s="65" t="s">
        <v>38</v>
      </c>
      <c r="X1" s="66">
        <v>0.02</v>
      </c>
    </row>
    <row r="2" spans="1:24" s="312" customFormat="1" x14ac:dyDescent="0.25">
      <c r="A2" s="226" t="s">
        <v>296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8"/>
      <c r="X2" s="228"/>
    </row>
    <row r="3" spans="1:24" ht="15.75" x14ac:dyDescent="0.25">
      <c r="A3" s="38"/>
      <c r="B3" s="203">
        <v>1</v>
      </c>
      <c r="C3" s="203">
        <f>B3+1</f>
        <v>2</v>
      </c>
      <c r="D3" s="203">
        <f t="shared" ref="D3:Q3" si="0">C3+1</f>
        <v>3</v>
      </c>
      <c r="E3" s="203">
        <f t="shared" si="0"/>
        <v>4</v>
      </c>
      <c r="F3" s="203">
        <f t="shared" si="0"/>
        <v>5</v>
      </c>
      <c r="G3" s="203">
        <f t="shared" si="0"/>
        <v>6</v>
      </c>
      <c r="H3" s="203">
        <f t="shared" si="0"/>
        <v>7</v>
      </c>
      <c r="I3" s="203">
        <f t="shared" si="0"/>
        <v>8</v>
      </c>
      <c r="J3" s="203">
        <f t="shared" si="0"/>
        <v>9</v>
      </c>
      <c r="K3" s="203">
        <f t="shared" si="0"/>
        <v>10</v>
      </c>
      <c r="L3" s="203">
        <f t="shared" si="0"/>
        <v>11</v>
      </c>
      <c r="M3" s="203">
        <f t="shared" si="0"/>
        <v>12</v>
      </c>
      <c r="N3" s="204">
        <f t="shared" si="0"/>
        <v>13</v>
      </c>
      <c r="O3" s="204">
        <f t="shared" si="0"/>
        <v>14</v>
      </c>
      <c r="P3" s="205">
        <f t="shared" si="0"/>
        <v>15</v>
      </c>
      <c r="Q3" s="205">
        <f t="shared" si="0"/>
        <v>16</v>
      </c>
      <c r="R3" s="206">
        <f>Q3+1</f>
        <v>17</v>
      </c>
      <c r="S3" s="206">
        <f>R3+1</f>
        <v>18</v>
      </c>
      <c r="T3" s="207">
        <f>S3+1</f>
        <v>19</v>
      </c>
      <c r="U3" s="207">
        <f>T3+1</f>
        <v>20</v>
      </c>
      <c r="V3" s="207">
        <f>U3+1</f>
        <v>21</v>
      </c>
      <c r="W3" s="39" t="s">
        <v>39</v>
      </c>
      <c r="X3" s="39" t="s">
        <v>40</v>
      </c>
    </row>
    <row r="4" spans="1:24" ht="30" x14ac:dyDescent="0.25">
      <c r="A4" s="219" t="s">
        <v>89</v>
      </c>
      <c r="B4" s="67"/>
      <c r="C4" s="67"/>
      <c r="D4" s="67"/>
      <c r="E4" s="67"/>
      <c r="F4" s="308"/>
      <c r="G4" s="67"/>
      <c r="H4" s="67"/>
      <c r="I4" s="67"/>
      <c r="J4" s="67"/>
      <c r="K4" s="39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9"/>
      <c r="X4" s="39"/>
    </row>
    <row r="5" spans="1:24" s="307" customFormat="1" ht="30" x14ac:dyDescent="0.2">
      <c r="A5" s="54" t="s">
        <v>292</v>
      </c>
      <c r="B5" s="217">
        <f>ИсхСел!$I$3</f>
        <v>4397</v>
      </c>
      <c r="C5" s="217">
        <f>ИсхСел!$I$3</f>
        <v>4397</v>
      </c>
      <c r="D5" s="217">
        <f>ИсхСел!$I$3</f>
        <v>4397</v>
      </c>
      <c r="E5" s="217">
        <f>ИсхСел!$I$3</f>
        <v>4397</v>
      </c>
      <c r="F5" s="217">
        <f>ИсхСел!$I$3</f>
        <v>4397</v>
      </c>
      <c r="G5" s="217">
        <f>ИсхСел!$I$3</f>
        <v>4397</v>
      </c>
      <c r="H5" s="217">
        <f>ИсхСел!$I$3</f>
        <v>4397</v>
      </c>
      <c r="I5" s="217">
        <f>ИсхСел!$I$3</f>
        <v>4397</v>
      </c>
      <c r="J5" s="217">
        <f>ИсхСел!$I$3</f>
        <v>4397</v>
      </c>
      <c r="K5" s="217">
        <f>ИсхСел!$I$3</f>
        <v>4397</v>
      </c>
      <c r="L5" s="217">
        <f>ИсхСел!$I$3</f>
        <v>4397</v>
      </c>
      <c r="M5" s="217">
        <f>ИсхСел!$I$3</f>
        <v>4397</v>
      </c>
      <c r="N5" s="39"/>
      <c r="O5" s="39"/>
      <c r="P5" s="40"/>
      <c r="Q5" s="40"/>
      <c r="R5" s="40"/>
      <c r="S5" s="40"/>
      <c r="T5" s="40"/>
      <c r="U5" s="40"/>
      <c r="V5" s="40"/>
      <c r="W5" s="218">
        <f>SUM(B5:V5)</f>
        <v>52764</v>
      </c>
      <c r="X5" s="41">
        <f>NPV($X$1,B5:V5)</f>
        <v>46499.775348372852</v>
      </c>
    </row>
    <row r="6" spans="1:24" s="307" customFormat="1" ht="45" x14ac:dyDescent="0.2">
      <c r="A6" s="54" t="s">
        <v>293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>
        <f>ИсхСел!$I$4</f>
        <v>3488</v>
      </c>
      <c r="O6" s="218">
        <f>ИсхСел!$I$4</f>
        <v>3488</v>
      </c>
      <c r="P6" s="40"/>
      <c r="Q6" s="40"/>
      <c r="R6" s="40"/>
      <c r="S6" s="40"/>
      <c r="T6" s="40"/>
      <c r="U6" s="40"/>
      <c r="V6" s="40"/>
      <c r="W6" s="218">
        <f t="shared" ref="W6:W11" si="1">SUM(B6:V6)</f>
        <v>6976</v>
      </c>
      <c r="X6" s="41"/>
    </row>
    <row r="7" spans="1:24" s="307" customFormat="1" ht="30" x14ac:dyDescent="0.2">
      <c r="A7" s="54" t="s">
        <v>294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39"/>
      <c r="O7" s="39"/>
      <c r="P7" s="238">
        <f>ИсхСел!I5</f>
        <v>6.3</v>
      </c>
      <c r="Q7" s="40"/>
      <c r="R7" s="40"/>
      <c r="S7" s="40"/>
      <c r="T7" s="40"/>
      <c r="U7" s="40"/>
      <c r="V7" s="40"/>
      <c r="W7" s="218">
        <f t="shared" si="1"/>
        <v>6.3</v>
      </c>
      <c r="X7" s="41"/>
    </row>
    <row r="8" spans="1:24" s="307" customFormat="1" ht="30" x14ac:dyDescent="0.2">
      <c r="A8" s="219" t="s">
        <v>298</v>
      </c>
      <c r="B8" s="216">
        <f>-B5-B6-B7</f>
        <v>-4397</v>
      </c>
      <c r="C8" s="216">
        <f t="shared" ref="C8:V8" si="2">-C5-C6-C7</f>
        <v>-4397</v>
      </c>
      <c r="D8" s="216">
        <f t="shared" si="2"/>
        <v>-4397</v>
      </c>
      <c r="E8" s="216">
        <f t="shared" si="2"/>
        <v>-4397</v>
      </c>
      <c r="F8" s="216">
        <f t="shared" si="2"/>
        <v>-4397</v>
      </c>
      <c r="G8" s="216">
        <f t="shared" si="2"/>
        <v>-4397</v>
      </c>
      <c r="H8" s="216">
        <f t="shared" si="2"/>
        <v>-4397</v>
      </c>
      <c r="I8" s="216">
        <f t="shared" si="2"/>
        <v>-4397</v>
      </c>
      <c r="J8" s="216">
        <f t="shared" si="2"/>
        <v>-4397</v>
      </c>
      <c r="K8" s="216">
        <f t="shared" si="2"/>
        <v>-4397</v>
      </c>
      <c r="L8" s="216">
        <f t="shared" si="2"/>
        <v>-4397</v>
      </c>
      <c r="M8" s="216">
        <f t="shared" si="2"/>
        <v>-4397</v>
      </c>
      <c r="N8" s="216">
        <f t="shared" si="2"/>
        <v>-3488</v>
      </c>
      <c r="O8" s="216">
        <f t="shared" si="2"/>
        <v>-3488</v>
      </c>
      <c r="P8" s="216">
        <f t="shared" si="2"/>
        <v>-6.3</v>
      </c>
      <c r="Q8" s="216">
        <f t="shared" si="2"/>
        <v>0</v>
      </c>
      <c r="R8" s="216">
        <f t="shared" si="2"/>
        <v>0</v>
      </c>
      <c r="S8" s="216">
        <f t="shared" si="2"/>
        <v>0</v>
      </c>
      <c r="T8" s="216">
        <f t="shared" si="2"/>
        <v>0</v>
      </c>
      <c r="U8" s="216">
        <f t="shared" si="2"/>
        <v>0</v>
      </c>
      <c r="V8" s="216">
        <f t="shared" si="2"/>
        <v>0</v>
      </c>
      <c r="W8" s="221">
        <f>SUM(B8:V8)</f>
        <v>-59746.3</v>
      </c>
      <c r="X8" s="41">
        <f>NPV($X$1,B8:V8)</f>
        <v>-51844.261874414966</v>
      </c>
    </row>
    <row r="9" spans="1:24" s="307" customFormat="1" ht="30" x14ac:dyDescent="0.2">
      <c r="A9" s="219" t="s">
        <v>297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8">
        <f t="shared" si="1"/>
        <v>0</v>
      </c>
      <c r="X9" s="41"/>
    </row>
    <row r="10" spans="1:24" s="307" customFormat="1" ht="45" x14ac:dyDescent="0.2">
      <c r="A10" s="54" t="s">
        <v>295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39"/>
      <c r="O10" s="39"/>
      <c r="P10" s="40"/>
      <c r="Q10" s="40"/>
      <c r="R10" s="40"/>
      <c r="S10" s="220">
        <f>ИсхСел!$I$6</f>
        <v>2040</v>
      </c>
      <c r="T10" s="93"/>
      <c r="U10" s="93"/>
      <c r="V10" s="530"/>
      <c r="W10" s="218">
        <f t="shared" si="1"/>
        <v>2040</v>
      </c>
      <c r="X10" s="41"/>
    </row>
    <row r="11" spans="1:24" s="307" customFormat="1" x14ac:dyDescent="0.2">
      <c r="A11" s="54" t="s">
        <v>299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39"/>
      <c r="O11" s="39"/>
      <c r="P11" s="40"/>
      <c r="Q11" s="40"/>
      <c r="R11" s="40"/>
      <c r="S11" s="220"/>
      <c r="T11" s="40">
        <f>ИсхСел!$K$7</f>
        <v>8500</v>
      </c>
      <c r="U11" s="40">
        <f>ИсхСел!$K$7</f>
        <v>8500</v>
      </c>
      <c r="V11" s="40">
        <f>ИсхСел!$K$7</f>
        <v>8500</v>
      </c>
      <c r="W11" s="218">
        <f t="shared" si="1"/>
        <v>25500</v>
      </c>
      <c r="X11" s="41"/>
    </row>
    <row r="12" spans="1:24" ht="45" x14ac:dyDescent="0.25">
      <c r="A12" s="219" t="s">
        <v>300</v>
      </c>
      <c r="B12" s="221">
        <f>B11-B10</f>
        <v>0</v>
      </c>
      <c r="C12" s="221">
        <f t="shared" ref="C12:V12" si="3">C11-C10</f>
        <v>0</v>
      </c>
      <c r="D12" s="221">
        <f t="shared" si="3"/>
        <v>0</v>
      </c>
      <c r="E12" s="221">
        <f t="shared" si="3"/>
        <v>0</v>
      </c>
      <c r="F12" s="216">
        <f t="shared" si="3"/>
        <v>0</v>
      </c>
      <c r="G12" s="221">
        <f t="shared" si="3"/>
        <v>0</v>
      </c>
      <c r="H12" s="221">
        <f t="shared" si="3"/>
        <v>0</v>
      </c>
      <c r="I12" s="221">
        <f t="shared" si="3"/>
        <v>0</v>
      </c>
      <c r="J12" s="221">
        <f t="shared" si="3"/>
        <v>0</v>
      </c>
      <c r="K12" s="221">
        <f t="shared" si="3"/>
        <v>0</v>
      </c>
      <c r="L12" s="221">
        <f t="shared" si="3"/>
        <v>0</v>
      </c>
      <c r="M12" s="221">
        <f t="shared" si="3"/>
        <v>0</v>
      </c>
      <c r="N12" s="221">
        <f t="shared" si="3"/>
        <v>0</v>
      </c>
      <c r="O12" s="221">
        <f t="shared" si="3"/>
        <v>0</v>
      </c>
      <c r="P12" s="221">
        <f t="shared" si="3"/>
        <v>0</v>
      </c>
      <c r="Q12" s="221">
        <f t="shared" si="3"/>
        <v>0</v>
      </c>
      <c r="R12" s="221">
        <f t="shared" si="3"/>
        <v>0</v>
      </c>
      <c r="S12" s="221">
        <f t="shared" si="3"/>
        <v>-2040</v>
      </c>
      <c r="T12" s="221">
        <f t="shared" si="3"/>
        <v>8500</v>
      </c>
      <c r="U12" s="221">
        <f t="shared" si="3"/>
        <v>8500</v>
      </c>
      <c r="V12" s="221">
        <f t="shared" si="3"/>
        <v>8500</v>
      </c>
      <c r="W12" s="221">
        <f>SUM(B12:V12)</f>
        <v>23460</v>
      </c>
      <c r="X12" s="41">
        <f>NPV($X$1,B12:V12)</f>
        <v>15734.68710710262</v>
      </c>
    </row>
    <row r="13" spans="1:24" ht="30" x14ac:dyDescent="0.25">
      <c r="A13" s="219" t="s">
        <v>301</v>
      </c>
      <c r="B13" s="221">
        <f t="shared" ref="B13:V13" si="4">B8+B12</f>
        <v>-4397</v>
      </c>
      <c r="C13" s="221">
        <f t="shared" si="4"/>
        <v>-4397</v>
      </c>
      <c r="D13" s="221">
        <f t="shared" si="4"/>
        <v>-4397</v>
      </c>
      <c r="E13" s="221">
        <f t="shared" si="4"/>
        <v>-4397</v>
      </c>
      <c r="F13" s="216">
        <f t="shared" si="4"/>
        <v>-4397</v>
      </c>
      <c r="G13" s="221">
        <f t="shared" si="4"/>
        <v>-4397</v>
      </c>
      <c r="H13" s="221">
        <f t="shared" si="4"/>
        <v>-4397</v>
      </c>
      <c r="I13" s="221">
        <f t="shared" si="4"/>
        <v>-4397</v>
      </c>
      <c r="J13" s="221">
        <f t="shared" si="4"/>
        <v>-4397</v>
      </c>
      <c r="K13" s="221">
        <f t="shared" si="4"/>
        <v>-4397</v>
      </c>
      <c r="L13" s="221">
        <f t="shared" si="4"/>
        <v>-4397</v>
      </c>
      <c r="M13" s="221">
        <f t="shared" si="4"/>
        <v>-4397</v>
      </c>
      <c r="N13" s="221">
        <f t="shared" si="4"/>
        <v>-3488</v>
      </c>
      <c r="O13" s="221">
        <f t="shared" si="4"/>
        <v>-3488</v>
      </c>
      <c r="P13" s="221">
        <f t="shared" si="4"/>
        <v>-6.3</v>
      </c>
      <c r="Q13" s="221">
        <f t="shared" si="4"/>
        <v>0</v>
      </c>
      <c r="R13" s="221">
        <f t="shared" si="4"/>
        <v>0</v>
      </c>
      <c r="S13" s="221">
        <f t="shared" si="4"/>
        <v>-2040</v>
      </c>
      <c r="T13" s="221">
        <f t="shared" si="4"/>
        <v>8500</v>
      </c>
      <c r="U13" s="221">
        <f t="shared" si="4"/>
        <v>8500</v>
      </c>
      <c r="V13" s="221">
        <f t="shared" si="4"/>
        <v>8500</v>
      </c>
      <c r="W13" s="221">
        <f>SUM(B13:V13)</f>
        <v>-36286.300000000003</v>
      </c>
      <c r="X13" s="41"/>
    </row>
    <row r="14" spans="1:24" x14ac:dyDescent="0.25">
      <c r="A14" s="54" t="s">
        <v>41</v>
      </c>
      <c r="B14" s="218">
        <f>B13</f>
        <v>-4397</v>
      </c>
      <c r="C14" s="218">
        <f>B14+C13</f>
        <v>-8794</v>
      </c>
      <c r="D14" s="218">
        <f t="shared" ref="D14:V14" si="5">C14+D13</f>
        <v>-13191</v>
      </c>
      <c r="E14" s="218">
        <f t="shared" si="5"/>
        <v>-17588</v>
      </c>
      <c r="F14" s="217">
        <f t="shared" si="5"/>
        <v>-21985</v>
      </c>
      <c r="G14" s="218">
        <f t="shared" si="5"/>
        <v>-26382</v>
      </c>
      <c r="H14" s="218">
        <f t="shared" si="5"/>
        <v>-30779</v>
      </c>
      <c r="I14" s="218">
        <f t="shared" si="5"/>
        <v>-35176</v>
      </c>
      <c r="J14" s="218">
        <f t="shared" si="5"/>
        <v>-39573</v>
      </c>
      <c r="K14" s="218">
        <f t="shared" si="5"/>
        <v>-43970</v>
      </c>
      <c r="L14" s="218">
        <f t="shared" si="5"/>
        <v>-48367</v>
      </c>
      <c r="M14" s="218">
        <f t="shared" si="5"/>
        <v>-52764</v>
      </c>
      <c r="N14" s="218">
        <f t="shared" si="5"/>
        <v>-56252</v>
      </c>
      <c r="O14" s="218">
        <f t="shared" si="5"/>
        <v>-59740</v>
      </c>
      <c r="P14" s="218">
        <f t="shared" si="5"/>
        <v>-59746.3</v>
      </c>
      <c r="Q14" s="218">
        <f t="shared" si="5"/>
        <v>-59746.3</v>
      </c>
      <c r="R14" s="218">
        <f t="shared" si="5"/>
        <v>-59746.3</v>
      </c>
      <c r="S14" s="218">
        <f t="shared" si="5"/>
        <v>-61786.3</v>
      </c>
      <c r="T14" s="218">
        <f t="shared" si="5"/>
        <v>-53286.3</v>
      </c>
      <c r="U14" s="218">
        <f t="shared" si="5"/>
        <v>-44786.3</v>
      </c>
      <c r="V14" s="218">
        <f t="shared" si="5"/>
        <v>-36286.300000000003</v>
      </c>
      <c r="W14" s="218">
        <f>SUM(B14:V14)</f>
        <v>-834342.10000000021</v>
      </c>
      <c r="X14" s="41"/>
    </row>
    <row r="15" spans="1:24" ht="30" x14ac:dyDescent="0.25">
      <c r="A15" s="219" t="s">
        <v>50</v>
      </c>
      <c r="B15" s="95">
        <f t="shared" ref="B15:V15" si="6">B13/(1+$X$1)^B3</f>
        <v>-4310.7843137254904</v>
      </c>
      <c r="C15" s="95">
        <f t="shared" si="6"/>
        <v>-4226.2591311034221</v>
      </c>
      <c r="D15" s="95">
        <f t="shared" si="6"/>
        <v>-4143.3913050033552</v>
      </c>
      <c r="E15" s="95">
        <f t="shared" si="6"/>
        <v>-4062.1483382385832</v>
      </c>
      <c r="F15" s="309">
        <f t="shared" si="6"/>
        <v>-3982.4983708221403</v>
      </c>
      <c r="G15" s="95">
        <f t="shared" si="6"/>
        <v>-3904.4101674726862</v>
      </c>
      <c r="H15" s="95">
        <f t="shared" si="6"/>
        <v>-3827.8531053653796</v>
      </c>
      <c r="I15" s="95">
        <f t="shared" si="6"/>
        <v>-3752.7971621229208</v>
      </c>
      <c r="J15" s="95">
        <f t="shared" si="6"/>
        <v>-3679.2129040420791</v>
      </c>
      <c r="K15" s="95">
        <f t="shared" si="6"/>
        <v>-3607.0714745510577</v>
      </c>
      <c r="L15" s="95">
        <f t="shared" si="6"/>
        <v>-3536.3445828931945</v>
      </c>
      <c r="M15" s="95">
        <f t="shared" si="6"/>
        <v>-3467.004493032543</v>
      </c>
      <c r="N15" s="95">
        <f t="shared" si="6"/>
        <v>-2696.3374474792331</v>
      </c>
      <c r="O15" s="95">
        <f t="shared" si="6"/>
        <v>-2643.4680857639537</v>
      </c>
      <c r="P15" s="95">
        <f t="shared" si="6"/>
        <v>-4.6809927989276714</v>
      </c>
      <c r="Q15" s="95">
        <f t="shared" si="6"/>
        <v>0</v>
      </c>
      <c r="R15" s="95">
        <f t="shared" si="6"/>
        <v>0</v>
      </c>
      <c r="S15" s="95">
        <f t="shared" si="6"/>
        <v>-1428.3251249298717</v>
      </c>
      <c r="T15" s="95">
        <f t="shared" si="6"/>
        <v>5834.6614580468613</v>
      </c>
      <c r="U15" s="95">
        <f t="shared" si="6"/>
        <v>5720.2563314184908</v>
      </c>
      <c r="V15" s="95">
        <f t="shared" si="6"/>
        <v>5608.0944425671478</v>
      </c>
      <c r="W15" s="67">
        <f>SUM(B15:V15)</f>
        <v>-36109.574767312348</v>
      </c>
      <c r="X15" s="39" t="s">
        <v>48</v>
      </c>
    </row>
    <row r="16" spans="1:24" s="144" customFormat="1" ht="11.25" x14ac:dyDescent="0.2">
      <c r="A16" s="139" t="s">
        <v>42</v>
      </c>
      <c r="B16" s="140">
        <f>B15</f>
        <v>-4310.7843137254904</v>
      </c>
      <c r="C16" s="140">
        <f>B16+C15</f>
        <v>-8537.0434448289125</v>
      </c>
      <c r="D16" s="140">
        <f t="shared" ref="D16:O16" si="7">C16+D15</f>
        <v>-12680.434749832268</v>
      </c>
      <c r="E16" s="140">
        <f t="shared" si="7"/>
        <v>-16742.583088070853</v>
      </c>
      <c r="F16" s="140">
        <f t="shared" si="7"/>
        <v>-20725.081458892993</v>
      </c>
      <c r="G16" s="140">
        <f t="shared" si="7"/>
        <v>-24629.491626365678</v>
      </c>
      <c r="H16" s="140">
        <f t="shared" si="7"/>
        <v>-28457.344731731057</v>
      </c>
      <c r="I16" s="140">
        <f t="shared" si="7"/>
        <v>-32210.141893853979</v>
      </c>
      <c r="J16" s="140">
        <f t="shared" si="7"/>
        <v>-35889.354797896056</v>
      </c>
      <c r="K16" s="140">
        <f t="shared" si="7"/>
        <v>-39496.426272447112</v>
      </c>
      <c r="L16" s="140">
        <f t="shared" si="7"/>
        <v>-43032.770855340306</v>
      </c>
      <c r="M16" s="140">
        <f t="shared" si="7"/>
        <v>-46499.775348372852</v>
      </c>
      <c r="N16" s="140">
        <f t="shared" si="7"/>
        <v>-49196.112795852088</v>
      </c>
      <c r="O16" s="140">
        <f t="shared" si="7"/>
        <v>-51839.580881616042</v>
      </c>
      <c r="P16" s="140">
        <f t="shared" ref="P16:V16" si="8">O16+P15</f>
        <v>-51844.261874414973</v>
      </c>
      <c r="Q16" s="140">
        <f t="shared" si="8"/>
        <v>-51844.261874414973</v>
      </c>
      <c r="R16" s="140">
        <f t="shared" si="8"/>
        <v>-51844.261874414973</v>
      </c>
      <c r="S16" s="140">
        <f t="shared" si="8"/>
        <v>-53272.586999344843</v>
      </c>
      <c r="T16" s="140">
        <f t="shared" si="8"/>
        <v>-47437.925541297984</v>
      </c>
      <c r="U16" s="140">
        <f t="shared" si="8"/>
        <v>-41717.669209879496</v>
      </c>
      <c r="V16" s="140">
        <f t="shared" si="8"/>
        <v>-36109.574767312348</v>
      </c>
      <c r="W16" s="142" t="s">
        <v>44</v>
      </c>
      <c r="X16" s="143">
        <f>IRR(B13:V13)</f>
        <v>-7.33080920037531E-2</v>
      </c>
    </row>
    <row r="17" spans="1:24" s="313" customFormat="1" ht="11.25" x14ac:dyDescent="0.2">
      <c r="A17" s="51"/>
      <c r="B17" s="52">
        <f t="shared" ref="B17:T17" si="9">IF(AND(B16&lt;0,C16&gt;0),B3+(-B16/(-B16+C16)),0)</f>
        <v>0</v>
      </c>
      <c r="C17" s="52">
        <f t="shared" si="9"/>
        <v>0</v>
      </c>
      <c r="D17" s="52">
        <f t="shared" si="9"/>
        <v>0</v>
      </c>
      <c r="E17" s="52">
        <f t="shared" si="9"/>
        <v>0</v>
      </c>
      <c r="F17" s="223">
        <f t="shared" si="9"/>
        <v>0</v>
      </c>
      <c r="G17" s="52">
        <f t="shared" si="9"/>
        <v>0</v>
      </c>
      <c r="H17" s="52">
        <f t="shared" si="9"/>
        <v>0</v>
      </c>
      <c r="I17" s="52">
        <f t="shared" si="9"/>
        <v>0</v>
      </c>
      <c r="J17" s="52">
        <f t="shared" si="9"/>
        <v>0</v>
      </c>
      <c r="K17" s="52">
        <f t="shared" si="9"/>
        <v>0</v>
      </c>
      <c r="L17" s="52">
        <f t="shared" si="9"/>
        <v>0</v>
      </c>
      <c r="M17" s="52">
        <f t="shared" si="9"/>
        <v>0</v>
      </c>
      <c r="N17" s="52">
        <f t="shared" si="9"/>
        <v>0</v>
      </c>
      <c r="O17" s="52">
        <f t="shared" si="9"/>
        <v>0</v>
      </c>
      <c r="P17" s="52">
        <f t="shared" si="9"/>
        <v>0</v>
      </c>
      <c r="Q17" s="52">
        <f t="shared" si="9"/>
        <v>0</v>
      </c>
      <c r="R17" s="52">
        <f t="shared" si="9"/>
        <v>0</v>
      </c>
      <c r="S17" s="52">
        <f t="shared" si="9"/>
        <v>0</v>
      </c>
      <c r="T17" s="52">
        <f t="shared" si="9"/>
        <v>0</v>
      </c>
      <c r="U17" s="52">
        <f>IF(AND(U16&lt;0,V16&gt;0),U3+(-U16/(-U16+V16)),0)</f>
        <v>0</v>
      </c>
      <c r="V17" s="52"/>
      <c r="W17" s="61" t="s">
        <v>49</v>
      </c>
      <c r="X17" s="62">
        <f>MAX(B17:V17)</f>
        <v>0</v>
      </c>
    </row>
    <row r="18" spans="1:24" s="314" customFormat="1" ht="15.75" x14ac:dyDescent="0.25">
      <c r="A18" s="45" t="s">
        <v>382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44"/>
      <c r="M18" s="44"/>
      <c r="N18" s="44"/>
      <c r="O18" s="44"/>
      <c r="P18" s="44"/>
      <c r="Q18" s="44">
        <f>MIN(B14:V14)</f>
        <v>-61786.3</v>
      </c>
      <c r="R18" s="44" t="s">
        <v>121</v>
      </c>
      <c r="S18" s="44"/>
      <c r="T18" s="44"/>
      <c r="U18" s="44"/>
      <c r="V18" s="44"/>
      <c r="W18" s="73" t="s">
        <v>51</v>
      </c>
      <c r="X18" s="74">
        <f>ABS(X12/X8)</f>
        <v>0.30349910555612819</v>
      </c>
    </row>
    <row r="19" spans="1:24" x14ac:dyDescent="0.25">
      <c r="A19" s="226" t="s">
        <v>302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8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8"/>
      <c r="X19" s="228"/>
    </row>
    <row r="20" spans="1:24" ht="15.75" x14ac:dyDescent="0.25">
      <c r="A20" s="38"/>
      <c r="B20" s="208">
        <v>1</v>
      </c>
      <c r="C20" s="209">
        <f t="shared" ref="C20:V20" si="10">B20+1</f>
        <v>2</v>
      </c>
      <c r="D20" s="210">
        <f t="shared" si="10"/>
        <v>3</v>
      </c>
      <c r="E20" s="210">
        <f t="shared" si="10"/>
        <v>4</v>
      </c>
      <c r="F20" s="211">
        <f t="shared" si="10"/>
        <v>5</v>
      </c>
      <c r="G20" s="212">
        <f t="shared" si="10"/>
        <v>6</v>
      </c>
      <c r="H20" s="212">
        <f t="shared" si="10"/>
        <v>7</v>
      </c>
      <c r="I20" s="213">
        <f t="shared" si="10"/>
        <v>8</v>
      </c>
      <c r="J20" s="213">
        <f t="shared" si="10"/>
        <v>9</v>
      </c>
      <c r="K20" s="207">
        <f t="shared" si="10"/>
        <v>10</v>
      </c>
      <c r="L20" s="207">
        <f t="shared" si="10"/>
        <v>11</v>
      </c>
      <c r="M20" s="207">
        <f t="shared" si="10"/>
        <v>12</v>
      </c>
      <c r="N20" s="207">
        <f t="shared" si="10"/>
        <v>13</v>
      </c>
      <c r="O20" s="207">
        <f t="shared" si="10"/>
        <v>14</v>
      </c>
      <c r="P20" s="207">
        <f t="shared" si="10"/>
        <v>15</v>
      </c>
      <c r="Q20" s="207">
        <f t="shared" si="10"/>
        <v>16</v>
      </c>
      <c r="R20" s="207">
        <f t="shared" si="10"/>
        <v>17</v>
      </c>
      <c r="S20" s="207">
        <f t="shared" si="10"/>
        <v>18</v>
      </c>
      <c r="T20" s="207">
        <f t="shared" si="10"/>
        <v>19</v>
      </c>
      <c r="U20" s="207">
        <f t="shared" si="10"/>
        <v>20</v>
      </c>
      <c r="V20" s="207">
        <f t="shared" si="10"/>
        <v>21</v>
      </c>
      <c r="W20" s="39" t="s">
        <v>39</v>
      </c>
      <c r="X20" s="39" t="s">
        <v>40</v>
      </c>
    </row>
    <row r="21" spans="1:24" s="222" customFormat="1" ht="30" x14ac:dyDescent="0.2">
      <c r="A21" s="219" t="s">
        <v>89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39">
        <f t="shared" ref="W21:W34" si="11">SUM(B21:V21)</f>
        <v>0</v>
      </c>
      <c r="X21" s="63"/>
    </row>
    <row r="22" spans="1:24" s="307" customFormat="1" ht="30" x14ac:dyDescent="0.2">
      <c r="A22" s="54" t="s">
        <v>303</v>
      </c>
      <c r="B22" s="217">
        <f>ИсхСел!I12</f>
        <v>12000</v>
      </c>
      <c r="C22" s="90"/>
      <c r="D22" s="90"/>
      <c r="E22" s="90"/>
      <c r="F22" s="230"/>
      <c r="G22" s="230"/>
      <c r="H22" s="90"/>
      <c r="I22" s="90"/>
      <c r="J22" s="90"/>
      <c r="K22" s="90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39">
        <f t="shared" si="11"/>
        <v>12000</v>
      </c>
      <c r="X22" s="41"/>
    </row>
    <row r="23" spans="1:24" ht="45" x14ac:dyDescent="0.25">
      <c r="A23" s="54" t="s">
        <v>304</v>
      </c>
      <c r="B23" s="90"/>
      <c r="C23" s="217">
        <f>ИсхСел!I13</f>
        <v>3072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39">
        <f t="shared" si="11"/>
        <v>3072</v>
      </c>
      <c r="X23" s="41"/>
    </row>
    <row r="24" spans="1:24" ht="75" x14ac:dyDescent="0.25">
      <c r="A24" s="54" t="s">
        <v>305</v>
      </c>
      <c r="B24" s="135"/>
      <c r="C24" s="93"/>
      <c r="D24" s="217">
        <f>ИсхСел!$I$14</f>
        <v>4397</v>
      </c>
      <c r="E24" s="217">
        <f>ИсхСел!$I$14</f>
        <v>4397</v>
      </c>
      <c r="F24" s="90"/>
      <c r="G24" s="90"/>
      <c r="H24" s="90"/>
      <c r="I24" s="90"/>
      <c r="J24" s="90"/>
      <c r="K24" s="90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39">
        <f t="shared" si="11"/>
        <v>8794</v>
      </c>
      <c r="X24" s="41"/>
    </row>
    <row r="25" spans="1:24" ht="45" x14ac:dyDescent="0.25">
      <c r="A25" s="54" t="s">
        <v>306</v>
      </c>
      <c r="B25" s="90"/>
      <c r="C25" s="90"/>
      <c r="D25" s="90"/>
      <c r="E25" s="217">
        <f>ИсхСел!J16</f>
        <v>0</v>
      </c>
      <c r="F25" s="217">
        <f>ИсхСел!$I$16</f>
        <v>56</v>
      </c>
      <c r="G25" s="90"/>
      <c r="H25" s="90"/>
      <c r="I25" s="90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39">
        <f t="shared" si="11"/>
        <v>56</v>
      </c>
      <c r="X25" s="41"/>
    </row>
    <row r="26" spans="1:24" ht="30" x14ac:dyDescent="0.25">
      <c r="A26" s="54" t="s">
        <v>307</v>
      </c>
      <c r="B26" s="90"/>
      <c r="C26" s="90"/>
      <c r="D26" s="90"/>
      <c r="E26" s="90"/>
      <c r="F26" s="90"/>
      <c r="G26" s="217">
        <f>ИсхСел!I18</f>
        <v>6.3</v>
      </c>
      <c r="H26" s="90"/>
      <c r="I26" s="90"/>
      <c r="J26" s="90"/>
      <c r="K26" s="90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39">
        <f t="shared" si="11"/>
        <v>6.3</v>
      </c>
      <c r="X26" s="41"/>
    </row>
    <row r="27" spans="1:24" ht="30" x14ac:dyDescent="0.25">
      <c r="A27" s="219" t="s">
        <v>298</v>
      </c>
      <c r="B27" s="216">
        <f>-B22-B23-B24-B25-B26</f>
        <v>-12000</v>
      </c>
      <c r="C27" s="216">
        <f t="shared" ref="C27:V27" si="12">-C22-C23-C24-C25-C26</f>
        <v>-3072</v>
      </c>
      <c r="D27" s="216">
        <f t="shared" si="12"/>
        <v>-4397</v>
      </c>
      <c r="E27" s="216">
        <f t="shared" si="12"/>
        <v>-4397</v>
      </c>
      <c r="F27" s="216">
        <f t="shared" si="12"/>
        <v>-56</v>
      </c>
      <c r="G27" s="239">
        <f t="shared" si="12"/>
        <v>-6.3</v>
      </c>
      <c r="H27" s="216">
        <f t="shared" si="12"/>
        <v>0</v>
      </c>
      <c r="I27" s="216">
        <f t="shared" si="12"/>
        <v>0</v>
      </c>
      <c r="J27" s="216">
        <f t="shared" si="12"/>
        <v>0</v>
      </c>
      <c r="K27" s="216">
        <f t="shared" si="12"/>
        <v>0</v>
      </c>
      <c r="L27" s="216">
        <f t="shared" si="12"/>
        <v>0</v>
      </c>
      <c r="M27" s="216">
        <f t="shared" si="12"/>
        <v>0</v>
      </c>
      <c r="N27" s="216">
        <f t="shared" si="12"/>
        <v>0</v>
      </c>
      <c r="O27" s="216">
        <f t="shared" si="12"/>
        <v>0</v>
      </c>
      <c r="P27" s="216">
        <f t="shared" si="12"/>
        <v>0</v>
      </c>
      <c r="Q27" s="216">
        <f t="shared" si="12"/>
        <v>0</v>
      </c>
      <c r="R27" s="216">
        <f t="shared" si="12"/>
        <v>0</v>
      </c>
      <c r="S27" s="216">
        <f t="shared" si="12"/>
        <v>0</v>
      </c>
      <c r="T27" s="216">
        <f t="shared" si="12"/>
        <v>0</v>
      </c>
      <c r="U27" s="216">
        <f t="shared" si="12"/>
        <v>0</v>
      </c>
      <c r="V27" s="216">
        <f t="shared" si="12"/>
        <v>0</v>
      </c>
      <c r="W27" s="39">
        <f t="shared" si="11"/>
        <v>-23928.3</v>
      </c>
      <c r="X27" s="43">
        <f>NPV($X$1,B27:V27)</f>
        <v>-22979.271166616221</v>
      </c>
    </row>
    <row r="28" spans="1:24" s="144" customFormat="1" ht="30" x14ac:dyDescent="0.2">
      <c r="A28" s="219" t="s">
        <v>297</v>
      </c>
      <c r="B28" s="56"/>
      <c r="C28" s="56"/>
      <c r="D28" s="56"/>
      <c r="E28" s="56"/>
      <c r="F28" s="13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39">
        <f t="shared" si="11"/>
        <v>0</v>
      </c>
      <c r="X28" s="57"/>
    </row>
    <row r="29" spans="1:24" s="144" customFormat="1" ht="45" x14ac:dyDescent="0.2">
      <c r="A29" s="54" t="s">
        <v>308</v>
      </c>
      <c r="B29" s="217"/>
      <c r="C29" s="217"/>
      <c r="D29" s="217"/>
      <c r="E29" s="217"/>
      <c r="F29" s="217"/>
      <c r="G29" s="217"/>
      <c r="H29" s="217"/>
      <c r="I29" s="217"/>
      <c r="J29" s="217">
        <f>ИсхСел!$I$19*$B$57</f>
        <v>2040</v>
      </c>
      <c r="K29" s="217"/>
      <c r="L29" s="217"/>
      <c r="M29" s="217">
        <f>ИсхСел!$I$19*$B$57</f>
        <v>2040</v>
      </c>
      <c r="N29" s="217"/>
      <c r="O29" s="217"/>
      <c r="P29" s="217">
        <f>ИсхСел!$I$19*$B$57</f>
        <v>2040</v>
      </c>
      <c r="Q29" s="217"/>
      <c r="R29" s="217"/>
      <c r="S29" s="217">
        <f>ИсхСел!$I$19*$B$57</f>
        <v>2040</v>
      </c>
      <c r="T29" s="217"/>
      <c r="U29" s="217"/>
      <c r="V29" s="531"/>
      <c r="W29" s="39">
        <f t="shared" si="11"/>
        <v>8160</v>
      </c>
      <c r="X29" s="56"/>
    </row>
    <row r="30" spans="1:24" s="144" customFormat="1" x14ac:dyDescent="0.2">
      <c r="A30" s="54" t="s">
        <v>299</v>
      </c>
      <c r="B30" s="217"/>
      <c r="C30" s="217"/>
      <c r="D30" s="217"/>
      <c r="E30" s="217"/>
      <c r="F30" s="217"/>
      <c r="G30" s="217"/>
      <c r="H30" s="217"/>
      <c r="I30" s="217"/>
      <c r="J30" s="217"/>
      <c r="K30" s="477">
        <f>ИсхСел!$K$20*$B$56</f>
        <v>8500</v>
      </c>
      <c r="L30" s="477">
        <f>ИсхСел!$K$20*$B$56</f>
        <v>8500</v>
      </c>
      <c r="M30" s="477">
        <f>ИсхСел!$K$20*$B$56</f>
        <v>8500</v>
      </c>
      <c r="N30" s="477">
        <f>ИсхСел!$K$20*$B$56</f>
        <v>8500</v>
      </c>
      <c r="O30" s="477">
        <f>ИсхСел!$K$20*$B$56</f>
        <v>8500</v>
      </c>
      <c r="P30" s="477">
        <f>ИсхСел!$K$20*$B$56</f>
        <v>8500</v>
      </c>
      <c r="Q30" s="477">
        <f>ИсхСел!$K$20*$B$56</f>
        <v>8500</v>
      </c>
      <c r="R30" s="477">
        <f>ИсхСел!$K$20*$B$56</f>
        <v>8500</v>
      </c>
      <c r="S30" s="477">
        <f>ИсхСел!$K$20*$B$56</f>
        <v>8500</v>
      </c>
      <c r="T30" s="477">
        <f>ИсхСел!$K$20*$B$56</f>
        <v>8500</v>
      </c>
      <c r="U30" s="477">
        <f>ИсхСел!$K$20*$B$56</f>
        <v>8500</v>
      </c>
      <c r="V30" s="477">
        <f>ИсхСел!$K$20*$B$56</f>
        <v>8500</v>
      </c>
      <c r="W30" s="39">
        <f t="shared" si="11"/>
        <v>102000</v>
      </c>
      <c r="X30" s="56"/>
    </row>
    <row r="31" spans="1:24" s="144" customFormat="1" ht="45" x14ac:dyDescent="0.2">
      <c r="A31" s="219" t="s">
        <v>300</v>
      </c>
      <c r="B31" s="218">
        <f>B30-B29</f>
        <v>0</v>
      </c>
      <c r="C31" s="218">
        <f t="shared" ref="C31:V31" si="13">C30-C29</f>
        <v>0</v>
      </c>
      <c r="D31" s="218">
        <f t="shared" si="13"/>
        <v>0</v>
      </c>
      <c r="E31" s="218">
        <f t="shared" si="13"/>
        <v>0</v>
      </c>
      <c r="F31" s="217">
        <f t="shared" si="13"/>
        <v>0</v>
      </c>
      <c r="G31" s="218">
        <f t="shared" si="13"/>
        <v>0</v>
      </c>
      <c r="H31" s="218">
        <f t="shared" si="13"/>
        <v>0</v>
      </c>
      <c r="I31" s="218">
        <f t="shared" si="13"/>
        <v>0</v>
      </c>
      <c r="J31" s="218">
        <f t="shared" si="13"/>
        <v>-2040</v>
      </c>
      <c r="K31" s="218">
        <f t="shared" si="13"/>
        <v>8500</v>
      </c>
      <c r="L31" s="218">
        <f t="shared" si="13"/>
        <v>8500</v>
      </c>
      <c r="M31" s="218">
        <f t="shared" si="13"/>
        <v>6460</v>
      </c>
      <c r="N31" s="218">
        <f t="shared" si="13"/>
        <v>8500</v>
      </c>
      <c r="O31" s="218">
        <f t="shared" si="13"/>
        <v>8500</v>
      </c>
      <c r="P31" s="218">
        <f t="shared" si="13"/>
        <v>6460</v>
      </c>
      <c r="Q31" s="218">
        <f t="shared" si="13"/>
        <v>8500</v>
      </c>
      <c r="R31" s="218">
        <f t="shared" si="13"/>
        <v>8500</v>
      </c>
      <c r="S31" s="218">
        <f t="shared" si="13"/>
        <v>6460</v>
      </c>
      <c r="T31" s="218">
        <f t="shared" si="13"/>
        <v>8500</v>
      </c>
      <c r="U31" s="218">
        <f t="shared" si="13"/>
        <v>8500</v>
      </c>
      <c r="V31" s="218">
        <f t="shared" si="13"/>
        <v>8500</v>
      </c>
      <c r="W31" s="39">
        <f t="shared" si="11"/>
        <v>93840</v>
      </c>
      <c r="X31" s="43">
        <f>NPV($X$1,B31:V31)</f>
        <v>68956.683872849186</v>
      </c>
    </row>
    <row r="32" spans="1:24" s="144" customFormat="1" ht="30" x14ac:dyDescent="0.2">
      <c r="A32" s="219" t="s">
        <v>309</v>
      </c>
      <c r="B32" s="216">
        <f>B31+B27</f>
        <v>-12000</v>
      </c>
      <c r="C32" s="216">
        <f t="shared" ref="C32:V32" si="14">C31+C27</f>
        <v>-3072</v>
      </c>
      <c r="D32" s="216">
        <f t="shared" si="14"/>
        <v>-4397</v>
      </c>
      <c r="E32" s="216">
        <f t="shared" si="14"/>
        <v>-4397</v>
      </c>
      <c r="F32" s="216">
        <f t="shared" si="14"/>
        <v>-56</v>
      </c>
      <c r="G32" s="239">
        <f t="shared" si="14"/>
        <v>-6.3</v>
      </c>
      <c r="H32" s="216">
        <f t="shared" si="14"/>
        <v>0</v>
      </c>
      <c r="I32" s="216">
        <f t="shared" si="14"/>
        <v>0</v>
      </c>
      <c r="J32" s="216">
        <f t="shared" si="14"/>
        <v>-2040</v>
      </c>
      <c r="K32" s="216">
        <f t="shared" si="14"/>
        <v>8500</v>
      </c>
      <c r="L32" s="216">
        <f t="shared" si="14"/>
        <v>8500</v>
      </c>
      <c r="M32" s="216">
        <f t="shared" si="14"/>
        <v>6460</v>
      </c>
      <c r="N32" s="216">
        <f t="shared" si="14"/>
        <v>8500</v>
      </c>
      <c r="O32" s="216">
        <f t="shared" si="14"/>
        <v>8500</v>
      </c>
      <c r="P32" s="216">
        <f t="shared" si="14"/>
        <v>6460</v>
      </c>
      <c r="Q32" s="216">
        <f t="shared" si="14"/>
        <v>8500</v>
      </c>
      <c r="R32" s="216">
        <f t="shared" si="14"/>
        <v>8500</v>
      </c>
      <c r="S32" s="216">
        <f t="shared" si="14"/>
        <v>6460</v>
      </c>
      <c r="T32" s="216">
        <f t="shared" si="14"/>
        <v>8500</v>
      </c>
      <c r="U32" s="216">
        <f t="shared" si="14"/>
        <v>8500</v>
      </c>
      <c r="V32" s="216">
        <f t="shared" si="14"/>
        <v>8500</v>
      </c>
      <c r="W32" s="39">
        <f t="shared" si="11"/>
        <v>69911.7</v>
      </c>
      <c r="X32" s="56"/>
    </row>
    <row r="33" spans="1:24" s="144" customFormat="1" x14ac:dyDescent="0.2">
      <c r="A33" s="54" t="s">
        <v>41</v>
      </c>
      <c r="B33" s="218">
        <f>B32</f>
        <v>-12000</v>
      </c>
      <c r="C33" s="218">
        <f t="shared" ref="C33:V33" si="15">B33+C32</f>
        <v>-15072</v>
      </c>
      <c r="D33" s="218">
        <f t="shared" si="15"/>
        <v>-19469</v>
      </c>
      <c r="E33" s="218">
        <f t="shared" si="15"/>
        <v>-23866</v>
      </c>
      <c r="F33" s="217">
        <f t="shared" si="15"/>
        <v>-23922</v>
      </c>
      <c r="G33" s="218">
        <f t="shared" si="15"/>
        <v>-23928.3</v>
      </c>
      <c r="H33" s="218">
        <f t="shared" si="15"/>
        <v>-23928.3</v>
      </c>
      <c r="I33" s="218">
        <f t="shared" si="15"/>
        <v>-23928.3</v>
      </c>
      <c r="J33" s="218">
        <f t="shared" si="15"/>
        <v>-25968.3</v>
      </c>
      <c r="K33" s="218">
        <f t="shared" si="15"/>
        <v>-17468.3</v>
      </c>
      <c r="L33" s="218">
        <f t="shared" si="15"/>
        <v>-8968.2999999999993</v>
      </c>
      <c r="M33" s="218">
        <f t="shared" si="15"/>
        <v>-2508.2999999999993</v>
      </c>
      <c r="N33" s="218">
        <f t="shared" si="15"/>
        <v>5991.7000000000007</v>
      </c>
      <c r="O33" s="218">
        <f t="shared" si="15"/>
        <v>14491.7</v>
      </c>
      <c r="P33" s="218">
        <f t="shared" si="15"/>
        <v>20951.7</v>
      </c>
      <c r="Q33" s="218">
        <f t="shared" si="15"/>
        <v>29451.7</v>
      </c>
      <c r="R33" s="218">
        <f t="shared" si="15"/>
        <v>37951.699999999997</v>
      </c>
      <c r="S33" s="218">
        <f t="shared" si="15"/>
        <v>44411.7</v>
      </c>
      <c r="T33" s="218">
        <f t="shared" si="15"/>
        <v>52911.7</v>
      </c>
      <c r="U33" s="218">
        <f t="shared" si="15"/>
        <v>61411.7</v>
      </c>
      <c r="V33" s="218">
        <f t="shared" si="15"/>
        <v>69911.7</v>
      </c>
      <c r="W33" s="39">
        <f t="shared" si="11"/>
        <v>116458.20000000008</v>
      </c>
      <c r="X33" s="56"/>
    </row>
    <row r="34" spans="1:24" s="144" customFormat="1" ht="30" x14ac:dyDescent="0.2">
      <c r="A34" s="219" t="s">
        <v>50</v>
      </c>
      <c r="B34" s="95">
        <f t="shared" ref="B34:V34" si="16">B32/(1+$X$1)^B20</f>
        <v>-11764.705882352941</v>
      </c>
      <c r="C34" s="95">
        <f t="shared" si="16"/>
        <v>-2952.710495963091</v>
      </c>
      <c r="D34" s="95">
        <f t="shared" si="16"/>
        <v>-4143.3913050033552</v>
      </c>
      <c r="E34" s="95">
        <f t="shared" si="16"/>
        <v>-4062.1483382385832</v>
      </c>
      <c r="F34" s="309">
        <f t="shared" si="16"/>
        <v>-50.720925350475291</v>
      </c>
      <c r="G34" s="95">
        <f t="shared" si="16"/>
        <v>-5.5942197077730098</v>
      </c>
      <c r="H34" s="95">
        <f t="shared" si="16"/>
        <v>0</v>
      </c>
      <c r="I34" s="95">
        <f t="shared" si="16"/>
        <v>0</v>
      </c>
      <c r="J34" s="95">
        <f t="shared" si="16"/>
        <v>-1706.9807423802233</v>
      </c>
      <c r="K34" s="95">
        <f t="shared" si="16"/>
        <v>6972.9605489388196</v>
      </c>
      <c r="L34" s="95">
        <f t="shared" si="16"/>
        <v>6836.2358322929622</v>
      </c>
      <c r="M34" s="95">
        <f t="shared" si="16"/>
        <v>5093.6659142574999</v>
      </c>
      <c r="N34" s="95">
        <f t="shared" si="16"/>
        <v>6570.7764631804703</v>
      </c>
      <c r="O34" s="95">
        <f t="shared" si="16"/>
        <v>6441.93770900046</v>
      </c>
      <c r="P34" s="95">
        <f t="shared" si="16"/>
        <v>4799.8751557258347</v>
      </c>
      <c r="Q34" s="95">
        <f t="shared" si="16"/>
        <v>6191.7894165709931</v>
      </c>
      <c r="R34" s="95">
        <f t="shared" si="16"/>
        <v>6070.3817809519533</v>
      </c>
      <c r="S34" s="95">
        <f t="shared" si="16"/>
        <v>4523.0295622779267</v>
      </c>
      <c r="T34" s="95">
        <f t="shared" si="16"/>
        <v>5834.6614580468613</v>
      </c>
      <c r="U34" s="95">
        <f t="shared" si="16"/>
        <v>5720.2563314184908</v>
      </c>
      <c r="V34" s="95">
        <f t="shared" si="16"/>
        <v>5608.0944425671478</v>
      </c>
      <c r="W34" s="39">
        <f t="shared" si="11"/>
        <v>45977.412706232972</v>
      </c>
      <c r="X34" s="39" t="s">
        <v>48</v>
      </c>
    </row>
    <row r="35" spans="1:24" s="144" customFormat="1" ht="11.25" x14ac:dyDescent="0.2">
      <c r="A35" s="139" t="s">
        <v>42</v>
      </c>
      <c r="B35" s="140">
        <f>B34</f>
        <v>-11764.705882352941</v>
      </c>
      <c r="C35" s="140">
        <f>B35+C34</f>
        <v>-14717.416378316031</v>
      </c>
      <c r="D35" s="140">
        <f t="shared" ref="D35:V35" si="17">C35+D34</f>
        <v>-18860.807683319385</v>
      </c>
      <c r="E35" s="140">
        <f t="shared" si="17"/>
        <v>-22922.95602155797</v>
      </c>
      <c r="F35" s="140">
        <f t="shared" si="17"/>
        <v>-22973.676946908447</v>
      </c>
      <c r="G35" s="140">
        <f t="shared" si="17"/>
        <v>-22979.271166616221</v>
      </c>
      <c r="H35" s="140">
        <f t="shared" si="17"/>
        <v>-22979.271166616221</v>
      </c>
      <c r="I35" s="140">
        <f t="shared" si="17"/>
        <v>-22979.271166616221</v>
      </c>
      <c r="J35" s="140">
        <f t="shared" si="17"/>
        <v>-24686.251908996444</v>
      </c>
      <c r="K35" s="140">
        <f t="shared" si="17"/>
        <v>-17713.291360057625</v>
      </c>
      <c r="L35" s="140">
        <f t="shared" si="17"/>
        <v>-10877.055527764664</v>
      </c>
      <c r="M35" s="140">
        <f t="shared" si="17"/>
        <v>-5783.3896135071636</v>
      </c>
      <c r="N35" s="140">
        <f t="shared" si="17"/>
        <v>787.38684967330664</v>
      </c>
      <c r="O35" s="140">
        <f t="shared" si="17"/>
        <v>7229.3245586737667</v>
      </c>
      <c r="P35" s="140">
        <f t="shared" si="17"/>
        <v>12029.199714399601</v>
      </c>
      <c r="Q35" s="140">
        <f t="shared" si="17"/>
        <v>18220.989130970593</v>
      </c>
      <c r="R35" s="140">
        <f t="shared" si="17"/>
        <v>24291.370911922546</v>
      </c>
      <c r="S35" s="140">
        <f t="shared" si="17"/>
        <v>28814.400474200473</v>
      </c>
      <c r="T35" s="140">
        <f t="shared" si="17"/>
        <v>34649.061932247336</v>
      </c>
      <c r="U35" s="140">
        <f t="shared" si="17"/>
        <v>40369.318263665824</v>
      </c>
      <c r="V35" s="140">
        <f t="shared" si="17"/>
        <v>45977.412706232972</v>
      </c>
      <c r="W35" s="59" t="s">
        <v>44</v>
      </c>
      <c r="X35" s="60">
        <f>IRR(B32:V32)</f>
        <v>0.11001025225299221</v>
      </c>
    </row>
    <row r="36" spans="1:24" s="144" customFormat="1" ht="11.25" x14ac:dyDescent="0.2">
      <c r="A36" s="51"/>
      <c r="B36" s="52">
        <f>IF(AND(B35&lt;0,C35&gt;0),B20+(-B35/(-B35+C35)),0)</f>
        <v>0</v>
      </c>
      <c r="C36" s="52">
        <f t="shared" ref="C36:U36" si="18">IF(AND(C35&lt;0,D35&gt;0),C20+(-C35/(-C35+D35)),0)</f>
        <v>0</v>
      </c>
      <c r="D36" s="52">
        <f t="shared" si="18"/>
        <v>0</v>
      </c>
      <c r="E36" s="52">
        <f t="shared" si="18"/>
        <v>0</v>
      </c>
      <c r="F36" s="223">
        <f t="shared" si="18"/>
        <v>0</v>
      </c>
      <c r="G36" s="52">
        <f t="shared" si="18"/>
        <v>0</v>
      </c>
      <c r="H36" s="52">
        <f t="shared" si="18"/>
        <v>0</v>
      </c>
      <c r="I36" s="52">
        <f t="shared" si="18"/>
        <v>0</v>
      </c>
      <c r="J36" s="52">
        <f t="shared" si="18"/>
        <v>0</v>
      </c>
      <c r="K36" s="52">
        <f t="shared" si="18"/>
        <v>0</v>
      </c>
      <c r="L36" s="52">
        <f t="shared" si="18"/>
        <v>0</v>
      </c>
      <c r="M36" s="52">
        <f t="shared" si="18"/>
        <v>12.880168370650646</v>
      </c>
      <c r="N36" s="52">
        <f t="shared" si="18"/>
        <v>0</v>
      </c>
      <c r="O36" s="52">
        <f t="shared" si="18"/>
        <v>0</v>
      </c>
      <c r="P36" s="52">
        <f t="shared" si="18"/>
        <v>0</v>
      </c>
      <c r="Q36" s="52">
        <f t="shared" si="18"/>
        <v>0</v>
      </c>
      <c r="R36" s="52">
        <f t="shared" si="18"/>
        <v>0</v>
      </c>
      <c r="S36" s="52">
        <f t="shared" si="18"/>
        <v>0</v>
      </c>
      <c r="T36" s="52">
        <f t="shared" si="18"/>
        <v>0</v>
      </c>
      <c r="U36" s="52">
        <f t="shared" si="18"/>
        <v>0</v>
      </c>
      <c r="V36" s="52"/>
      <c r="W36" s="61" t="s">
        <v>49</v>
      </c>
      <c r="X36" s="62">
        <f>MAX(B36:V36)</f>
        <v>12.880168370650646</v>
      </c>
    </row>
    <row r="37" spans="1:24" s="314" customFormat="1" ht="12.75" x14ac:dyDescent="0.2">
      <c r="A37" s="45" t="s">
        <v>254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44"/>
      <c r="M37" s="44"/>
      <c r="N37" s="44"/>
      <c r="O37" s="44"/>
      <c r="P37" s="44"/>
      <c r="Q37" s="231">
        <f>MIN(B33:V33)</f>
        <v>-25968.3</v>
      </c>
      <c r="R37" s="44"/>
      <c r="S37" s="44"/>
      <c r="T37" s="44"/>
      <c r="U37" s="44"/>
      <c r="V37" s="44"/>
      <c r="W37" s="73" t="s">
        <v>51</v>
      </c>
      <c r="X37" s="74">
        <f>ABS(X31/X27)</f>
        <v>3.0008211911014802</v>
      </c>
    </row>
    <row r="38" spans="1:24" x14ac:dyDescent="0.25">
      <c r="A38" s="219" t="s">
        <v>46</v>
      </c>
      <c r="B38" s="220">
        <f>B32-B13</f>
        <v>-7603</v>
      </c>
      <c r="C38" s="220">
        <f t="shared" ref="C38:V38" si="19">C32-C13</f>
        <v>1325</v>
      </c>
      <c r="D38" s="220">
        <f t="shared" si="19"/>
        <v>0</v>
      </c>
      <c r="E38" s="220">
        <f t="shared" si="19"/>
        <v>0</v>
      </c>
      <c r="F38" s="243">
        <f t="shared" si="19"/>
        <v>4341</v>
      </c>
      <c r="G38" s="220">
        <f t="shared" si="19"/>
        <v>4390.7</v>
      </c>
      <c r="H38" s="220">
        <f t="shared" si="19"/>
        <v>4397</v>
      </c>
      <c r="I38" s="220">
        <f t="shared" si="19"/>
        <v>4397</v>
      </c>
      <c r="J38" s="220">
        <f t="shared" si="19"/>
        <v>2357</v>
      </c>
      <c r="K38" s="224">
        <f t="shared" si="19"/>
        <v>12897</v>
      </c>
      <c r="L38" s="220">
        <f t="shared" si="19"/>
        <v>12897</v>
      </c>
      <c r="M38" s="220">
        <f t="shared" si="19"/>
        <v>10857</v>
      </c>
      <c r="N38" s="220">
        <f t="shared" si="19"/>
        <v>11988</v>
      </c>
      <c r="O38" s="220">
        <f t="shared" si="19"/>
        <v>11988</v>
      </c>
      <c r="P38" s="220">
        <f t="shared" si="19"/>
        <v>6466.3</v>
      </c>
      <c r="Q38" s="220">
        <f t="shared" si="19"/>
        <v>8500</v>
      </c>
      <c r="R38" s="220">
        <f t="shared" si="19"/>
        <v>8500</v>
      </c>
      <c r="S38" s="220">
        <f t="shared" si="19"/>
        <v>8500</v>
      </c>
      <c r="T38" s="220">
        <f t="shared" si="19"/>
        <v>0</v>
      </c>
      <c r="U38" s="220">
        <f t="shared" si="19"/>
        <v>0</v>
      </c>
      <c r="V38" s="220">
        <f t="shared" si="19"/>
        <v>0</v>
      </c>
      <c r="W38" s="39">
        <v>6</v>
      </c>
      <c r="X38" s="50">
        <f>NPV($X$1,B38:V38)</f>
        <v>82086.987473545305</v>
      </c>
    </row>
    <row r="39" spans="1:24" ht="18.75" x14ac:dyDescent="0.3">
      <c r="A39" s="219" t="s">
        <v>47</v>
      </c>
      <c r="B39" s="40">
        <f t="shared" ref="B39:V39" si="20">B38/(1+$X$1)^B$3</f>
        <v>-7453.9215686274511</v>
      </c>
      <c r="C39" s="40">
        <f t="shared" si="20"/>
        <v>1273.5486351403306</v>
      </c>
      <c r="D39" s="40">
        <f t="shared" si="20"/>
        <v>0</v>
      </c>
      <c r="E39" s="40">
        <f t="shared" si="20"/>
        <v>0</v>
      </c>
      <c r="F39" s="93">
        <f t="shared" si="20"/>
        <v>3931.777445471665</v>
      </c>
      <c r="G39" s="40">
        <f t="shared" si="20"/>
        <v>3898.8159477649128</v>
      </c>
      <c r="H39" s="40">
        <f t="shared" si="20"/>
        <v>3827.8531053653796</v>
      </c>
      <c r="I39" s="40">
        <f t="shared" si="20"/>
        <v>3752.7971621229208</v>
      </c>
      <c r="J39" s="40">
        <f t="shared" si="20"/>
        <v>1972.232161661856</v>
      </c>
      <c r="K39" s="40">
        <f t="shared" si="20"/>
        <v>10580.032023489877</v>
      </c>
      <c r="L39" s="40">
        <f t="shared" si="20"/>
        <v>10372.580415186158</v>
      </c>
      <c r="M39" s="40">
        <f t="shared" si="20"/>
        <v>8560.6704072900429</v>
      </c>
      <c r="N39" s="40">
        <f t="shared" si="20"/>
        <v>9267.1139106597038</v>
      </c>
      <c r="O39" s="40">
        <f t="shared" si="20"/>
        <v>9085.4057947644142</v>
      </c>
      <c r="P39" s="40">
        <f t="shared" si="20"/>
        <v>4804.5561485247626</v>
      </c>
      <c r="Q39" s="40">
        <f t="shared" si="20"/>
        <v>6191.7894165709931</v>
      </c>
      <c r="R39" s="40">
        <f t="shared" si="20"/>
        <v>6070.3817809519533</v>
      </c>
      <c r="S39" s="40">
        <f t="shared" si="20"/>
        <v>5951.3546872077977</v>
      </c>
      <c r="T39" s="40">
        <f t="shared" si="20"/>
        <v>0</v>
      </c>
      <c r="U39" s="40">
        <f t="shared" si="20"/>
        <v>0</v>
      </c>
      <c r="V39" s="40">
        <f t="shared" si="20"/>
        <v>0</v>
      </c>
      <c r="W39" s="311">
        <f>SUM(B39:V39)</f>
        <v>82086.987473545305</v>
      </c>
      <c r="X39" s="39" t="s">
        <v>48</v>
      </c>
    </row>
    <row r="40" spans="1:24" x14ac:dyDescent="0.25">
      <c r="A40" s="40" t="s">
        <v>42</v>
      </c>
      <c r="B40" s="40">
        <f>B39</f>
        <v>-7453.9215686274511</v>
      </c>
      <c r="C40" s="42">
        <f>B40+C39</f>
        <v>-6180.3729334871205</v>
      </c>
      <c r="D40" s="42">
        <f t="shared" ref="D40:Q40" si="21">C40+D39</f>
        <v>-6180.3729334871205</v>
      </c>
      <c r="E40" s="42">
        <f t="shared" si="21"/>
        <v>-6180.3729334871205</v>
      </c>
      <c r="F40" s="141">
        <f t="shared" si="21"/>
        <v>-2248.5954880154554</v>
      </c>
      <c r="G40" s="42">
        <f t="shared" si="21"/>
        <v>1650.2204597494574</v>
      </c>
      <c r="H40" s="42">
        <f t="shared" si="21"/>
        <v>5478.073565114837</v>
      </c>
      <c r="I40" s="42">
        <f t="shared" si="21"/>
        <v>9230.8707272377578</v>
      </c>
      <c r="J40" s="42">
        <f t="shared" si="21"/>
        <v>11203.102888899613</v>
      </c>
      <c r="K40" s="42">
        <f t="shared" si="21"/>
        <v>21783.134912389491</v>
      </c>
      <c r="L40" s="42">
        <f t="shared" si="21"/>
        <v>32155.71532757565</v>
      </c>
      <c r="M40" s="42">
        <f t="shared" si="21"/>
        <v>40716.385734865689</v>
      </c>
      <c r="N40" s="42">
        <f t="shared" si="21"/>
        <v>49983.499645525393</v>
      </c>
      <c r="O40" s="42">
        <f t="shared" si="21"/>
        <v>59068.905440289804</v>
      </c>
      <c r="P40" s="42">
        <f t="shared" si="21"/>
        <v>63873.461588814564</v>
      </c>
      <c r="Q40" s="42">
        <f t="shared" si="21"/>
        <v>70065.251005385551</v>
      </c>
      <c r="R40" s="42">
        <f>Q40+R39</f>
        <v>76135.632786337505</v>
      </c>
      <c r="S40" s="42">
        <f>R40+S39</f>
        <v>82086.987473545305</v>
      </c>
      <c r="T40" s="42">
        <f>S40+T39</f>
        <v>82086.987473545305</v>
      </c>
      <c r="U40" s="42">
        <f>T40+U39</f>
        <v>82086.987473545305</v>
      </c>
      <c r="V40" s="42">
        <f>U40+V39</f>
        <v>82086.987473545305</v>
      </c>
      <c r="W40" s="59" t="s">
        <v>44</v>
      </c>
      <c r="X40" s="75">
        <f>IRR(B38:V38)</f>
        <v>0.34822907273917347</v>
      </c>
    </row>
    <row r="41" spans="1:24" s="222" customFormat="1" ht="12.75" x14ac:dyDescent="0.2">
      <c r="A41" s="51"/>
      <c r="B41" s="69">
        <f t="shared" ref="B41:K41" si="22">IF(AND(B40&lt;0,C40&gt;0),B$3+(-B40/(-B40+C40)),0)</f>
        <v>0</v>
      </c>
      <c r="C41" s="69">
        <f t="shared" si="22"/>
        <v>0</v>
      </c>
      <c r="D41" s="69">
        <f t="shared" si="22"/>
        <v>0</v>
      </c>
      <c r="E41" s="69">
        <f t="shared" si="22"/>
        <v>0</v>
      </c>
      <c r="F41" s="310">
        <f t="shared" si="22"/>
        <v>5.5767380451248325</v>
      </c>
      <c r="G41" s="232">
        <f t="shared" si="22"/>
        <v>0</v>
      </c>
      <c r="H41" s="69">
        <f t="shared" si="22"/>
        <v>0</v>
      </c>
      <c r="I41" s="69">
        <f t="shared" si="22"/>
        <v>0</v>
      </c>
      <c r="J41" s="69">
        <f t="shared" si="22"/>
        <v>0</v>
      </c>
      <c r="K41" s="69">
        <f t="shared" si="22"/>
        <v>0</v>
      </c>
      <c r="L41" s="69">
        <f t="shared" ref="L41:U41" si="23">IF(AND(L40&lt;0,M40&gt;0),L$3+(-L40/(-L40+M40)),0)</f>
        <v>0</v>
      </c>
      <c r="M41" s="69">
        <f t="shared" si="23"/>
        <v>0</v>
      </c>
      <c r="N41" s="69">
        <f t="shared" si="23"/>
        <v>0</v>
      </c>
      <c r="O41" s="69">
        <f t="shared" si="23"/>
        <v>0</v>
      </c>
      <c r="P41" s="69">
        <f t="shared" si="23"/>
        <v>0</v>
      </c>
      <c r="Q41" s="69">
        <f t="shared" si="23"/>
        <v>0</v>
      </c>
      <c r="R41" s="69">
        <f t="shared" si="23"/>
        <v>0</v>
      </c>
      <c r="S41" s="69">
        <f t="shared" si="23"/>
        <v>0</v>
      </c>
      <c r="T41" s="69">
        <f t="shared" si="23"/>
        <v>0</v>
      </c>
      <c r="U41" s="69">
        <f t="shared" si="23"/>
        <v>0</v>
      </c>
      <c r="V41" s="69"/>
      <c r="W41" s="70" t="s">
        <v>49</v>
      </c>
      <c r="X41" s="71">
        <f>MAX(B41:V41)</f>
        <v>5.5767380451248325</v>
      </c>
    </row>
    <row r="42" spans="1:24" s="314" customFormat="1" ht="12.75" x14ac:dyDescent="0.2">
      <c r="A42" s="45" t="s">
        <v>52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44"/>
      <c r="M42" s="44"/>
      <c r="N42" s="44"/>
      <c r="O42" s="44"/>
      <c r="P42" s="44"/>
      <c r="Q42" s="231">
        <f>-Q37</f>
        <v>25968.3</v>
      </c>
      <c r="R42" s="44"/>
      <c r="S42" s="44"/>
      <c r="T42" s="44"/>
      <c r="U42" s="44"/>
      <c r="V42" s="44"/>
      <c r="W42" s="73" t="s">
        <v>51</v>
      </c>
      <c r="X42" s="74">
        <f>(X31-X12)/(X27-X8)</f>
        <v>1.8438251827105923</v>
      </c>
    </row>
    <row r="44" spans="1:24" x14ac:dyDescent="0.25">
      <c r="A44" s="405" t="s">
        <v>406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08"/>
      <c r="X44" s="408"/>
    </row>
    <row r="45" spans="1:24" x14ac:dyDescent="0.25">
      <c r="A45" s="405" t="s">
        <v>407</v>
      </c>
      <c r="B45" s="408">
        <v>0</v>
      </c>
      <c r="C45" s="408">
        <f>B45+1</f>
        <v>1</v>
      </c>
      <c r="D45" s="408">
        <f t="shared" ref="D45:W45" si="24">C45+1</f>
        <v>2</v>
      </c>
      <c r="E45" s="408">
        <f t="shared" si="24"/>
        <v>3</v>
      </c>
      <c r="F45" s="408">
        <f t="shared" si="24"/>
        <v>4</v>
      </c>
      <c r="G45" s="408">
        <f t="shared" si="24"/>
        <v>5</v>
      </c>
      <c r="H45" s="408">
        <f t="shared" si="24"/>
        <v>6</v>
      </c>
      <c r="I45" s="408">
        <f t="shared" si="24"/>
        <v>7</v>
      </c>
      <c r="J45" s="408">
        <f t="shared" si="24"/>
        <v>8</v>
      </c>
      <c r="K45" s="408">
        <f t="shared" si="24"/>
        <v>9</v>
      </c>
      <c r="L45" s="408">
        <f t="shared" si="24"/>
        <v>10</v>
      </c>
      <c r="M45" s="408">
        <f t="shared" si="24"/>
        <v>11</v>
      </c>
      <c r="N45" s="408">
        <f t="shared" si="24"/>
        <v>12</v>
      </c>
      <c r="O45" s="408">
        <f t="shared" si="24"/>
        <v>13</v>
      </c>
      <c r="P45" s="408">
        <f t="shared" si="24"/>
        <v>14</v>
      </c>
      <c r="Q45" s="408">
        <f t="shared" si="24"/>
        <v>15</v>
      </c>
      <c r="R45" s="408">
        <f t="shared" si="24"/>
        <v>16</v>
      </c>
      <c r="S45" s="408">
        <f t="shared" si="24"/>
        <v>17</v>
      </c>
      <c r="T45" s="408">
        <f t="shared" si="24"/>
        <v>18</v>
      </c>
      <c r="U45" s="408">
        <f t="shared" si="24"/>
        <v>19</v>
      </c>
      <c r="V45" s="408">
        <f t="shared" si="24"/>
        <v>20</v>
      </c>
      <c r="W45" s="408">
        <f t="shared" si="24"/>
        <v>21</v>
      </c>
      <c r="X45" s="408"/>
    </row>
    <row r="46" spans="1:24" x14ac:dyDescent="0.25">
      <c r="A46" s="405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08"/>
      <c r="X46" s="408"/>
    </row>
    <row r="47" spans="1:24" s="405" customFormat="1" x14ac:dyDescent="0.25">
      <c r="A47" s="405" t="s">
        <v>408</v>
      </c>
      <c r="B47" s="406">
        <f>B22+B23+B24+B25+B26+B29</f>
        <v>12000</v>
      </c>
      <c r="C47" s="406">
        <f t="shared" ref="C47:V47" si="25">C22+C23+C24+C25+C26+C29</f>
        <v>3072</v>
      </c>
      <c r="D47" s="406">
        <f t="shared" si="25"/>
        <v>4397</v>
      </c>
      <c r="E47" s="406">
        <f t="shared" si="25"/>
        <v>4397</v>
      </c>
      <c r="F47" s="406">
        <f t="shared" si="25"/>
        <v>56</v>
      </c>
      <c r="G47" s="406">
        <f t="shared" si="25"/>
        <v>6.3</v>
      </c>
      <c r="H47" s="406">
        <f t="shared" si="25"/>
        <v>0</v>
      </c>
      <c r="I47" s="406">
        <f t="shared" si="25"/>
        <v>0</v>
      </c>
      <c r="J47" s="406">
        <f t="shared" si="25"/>
        <v>2040</v>
      </c>
      <c r="K47" s="406">
        <f t="shared" si="25"/>
        <v>0</v>
      </c>
      <c r="L47" s="406">
        <f t="shared" si="25"/>
        <v>0</v>
      </c>
      <c r="M47" s="406">
        <f t="shared" si="25"/>
        <v>2040</v>
      </c>
      <c r="N47" s="406">
        <f t="shared" si="25"/>
        <v>0</v>
      </c>
      <c r="O47" s="406">
        <f t="shared" si="25"/>
        <v>0</v>
      </c>
      <c r="P47" s="406">
        <f t="shared" si="25"/>
        <v>2040</v>
      </c>
      <c r="Q47" s="406">
        <f t="shared" si="25"/>
        <v>0</v>
      </c>
      <c r="R47" s="406">
        <f t="shared" si="25"/>
        <v>0</v>
      </c>
      <c r="S47" s="406">
        <f t="shared" si="25"/>
        <v>2040</v>
      </c>
      <c r="T47" s="406">
        <f t="shared" si="25"/>
        <v>0</v>
      </c>
      <c r="U47" s="406">
        <f t="shared" si="25"/>
        <v>0</v>
      </c>
      <c r="V47" s="406">
        <f t="shared" si="25"/>
        <v>0</v>
      </c>
      <c r="W47" s="407" t="s">
        <v>82</v>
      </c>
      <c r="X47" s="406">
        <f>SUM(B47:W47)</f>
        <v>32088.3</v>
      </c>
    </row>
    <row r="48" spans="1:24" s="405" customFormat="1" x14ac:dyDescent="0.25">
      <c r="A48" s="405" t="s">
        <v>409</v>
      </c>
      <c r="B48" s="408"/>
      <c r="C48" s="406">
        <f>B30</f>
        <v>0</v>
      </c>
      <c r="D48" s="406">
        <f t="shared" ref="D48:W48" si="26">C30</f>
        <v>0</v>
      </c>
      <c r="E48" s="406">
        <f t="shared" si="26"/>
        <v>0</v>
      </c>
      <c r="F48" s="406">
        <f t="shared" si="26"/>
        <v>0</v>
      </c>
      <c r="G48" s="406">
        <f t="shared" si="26"/>
        <v>0</v>
      </c>
      <c r="H48" s="406">
        <f t="shared" si="26"/>
        <v>0</v>
      </c>
      <c r="I48" s="406">
        <f t="shared" si="26"/>
        <v>0</v>
      </c>
      <c r="J48" s="406">
        <f t="shared" si="26"/>
        <v>0</v>
      </c>
      <c r="K48" s="406">
        <f t="shared" si="26"/>
        <v>0</v>
      </c>
      <c r="L48" s="406">
        <f t="shared" si="26"/>
        <v>8500</v>
      </c>
      <c r="M48" s="406">
        <f t="shared" si="26"/>
        <v>8500</v>
      </c>
      <c r="N48" s="406">
        <f t="shared" si="26"/>
        <v>8500</v>
      </c>
      <c r="O48" s="406">
        <f t="shared" si="26"/>
        <v>8500</v>
      </c>
      <c r="P48" s="406">
        <f t="shared" si="26"/>
        <v>8500</v>
      </c>
      <c r="Q48" s="406">
        <f t="shared" si="26"/>
        <v>8500</v>
      </c>
      <c r="R48" s="406">
        <f t="shared" si="26"/>
        <v>8500</v>
      </c>
      <c r="S48" s="406">
        <f t="shared" si="26"/>
        <v>8500</v>
      </c>
      <c r="T48" s="406">
        <f t="shared" si="26"/>
        <v>8500</v>
      </c>
      <c r="U48" s="406">
        <f t="shared" si="26"/>
        <v>8500</v>
      </c>
      <c r="V48" s="406">
        <f t="shared" si="26"/>
        <v>8500</v>
      </c>
      <c r="W48" s="406">
        <f t="shared" si="26"/>
        <v>8500</v>
      </c>
      <c r="X48" s="406">
        <f>SUM(B48:W48)</f>
        <v>102000</v>
      </c>
    </row>
    <row r="49" spans="1:24" s="405" customFormat="1" x14ac:dyDescent="0.25">
      <c r="A49" s="405" t="s">
        <v>410</v>
      </c>
      <c r="B49" s="406">
        <f>B48-B47</f>
        <v>-12000</v>
      </c>
      <c r="C49" s="406">
        <f t="shared" ref="C49:V49" si="27">C48-C47</f>
        <v>-3072</v>
      </c>
      <c r="D49" s="406">
        <f t="shared" si="27"/>
        <v>-4397</v>
      </c>
      <c r="E49" s="406">
        <f t="shared" si="27"/>
        <v>-4397</v>
      </c>
      <c r="F49" s="406">
        <f t="shared" si="27"/>
        <v>-56</v>
      </c>
      <c r="G49" s="406">
        <f t="shared" si="27"/>
        <v>-6.3</v>
      </c>
      <c r="H49" s="406">
        <f t="shared" si="27"/>
        <v>0</v>
      </c>
      <c r="I49" s="406">
        <f t="shared" si="27"/>
        <v>0</v>
      </c>
      <c r="J49" s="406">
        <f t="shared" si="27"/>
        <v>-2040</v>
      </c>
      <c r="K49" s="406">
        <f t="shared" si="27"/>
        <v>0</v>
      </c>
      <c r="L49" s="406">
        <f t="shared" si="27"/>
        <v>8500</v>
      </c>
      <c r="M49" s="406">
        <f t="shared" si="27"/>
        <v>6460</v>
      </c>
      <c r="N49" s="406">
        <f t="shared" si="27"/>
        <v>8500</v>
      </c>
      <c r="O49" s="406">
        <f t="shared" si="27"/>
        <v>8500</v>
      </c>
      <c r="P49" s="406">
        <f t="shared" si="27"/>
        <v>6460</v>
      </c>
      <c r="Q49" s="406">
        <f t="shared" si="27"/>
        <v>8500</v>
      </c>
      <c r="R49" s="406">
        <f t="shared" si="27"/>
        <v>8500</v>
      </c>
      <c r="S49" s="406">
        <f t="shared" si="27"/>
        <v>6460</v>
      </c>
      <c r="T49" s="406">
        <f t="shared" si="27"/>
        <v>8500</v>
      </c>
      <c r="U49" s="406">
        <f t="shared" si="27"/>
        <v>8500</v>
      </c>
      <c r="V49" s="406">
        <f t="shared" si="27"/>
        <v>8500</v>
      </c>
      <c r="W49" s="406">
        <v>0</v>
      </c>
      <c r="X49" s="406">
        <f>SUM(B49:W49)</f>
        <v>61411.7</v>
      </c>
    </row>
    <row r="50" spans="1:24" s="405" customFormat="1" x14ac:dyDescent="0.25">
      <c r="A50" s="405" t="s">
        <v>41</v>
      </c>
      <c r="B50" s="406">
        <f>B49</f>
        <v>-12000</v>
      </c>
      <c r="C50" s="406">
        <f>B50+C49</f>
        <v>-15072</v>
      </c>
      <c r="D50" s="406">
        <f t="shared" ref="D50:W50" si="28">C50+D49</f>
        <v>-19469</v>
      </c>
      <c r="E50" s="406">
        <f t="shared" si="28"/>
        <v>-23866</v>
      </c>
      <c r="F50" s="406">
        <f t="shared" si="28"/>
        <v>-23922</v>
      </c>
      <c r="G50" s="406">
        <f t="shared" si="28"/>
        <v>-23928.3</v>
      </c>
      <c r="H50" s="406">
        <f t="shared" si="28"/>
        <v>-23928.3</v>
      </c>
      <c r="I50" s="406">
        <f t="shared" si="28"/>
        <v>-23928.3</v>
      </c>
      <c r="J50" s="406">
        <f t="shared" si="28"/>
        <v>-25968.3</v>
      </c>
      <c r="K50" s="406">
        <f t="shared" si="28"/>
        <v>-25968.3</v>
      </c>
      <c r="L50" s="406">
        <f t="shared" si="28"/>
        <v>-17468.3</v>
      </c>
      <c r="M50" s="406">
        <f t="shared" si="28"/>
        <v>-11008.3</v>
      </c>
      <c r="N50" s="406">
        <f t="shared" si="28"/>
        <v>-2508.2999999999993</v>
      </c>
      <c r="O50" s="406">
        <f t="shared" si="28"/>
        <v>5991.7000000000007</v>
      </c>
      <c r="P50" s="406">
        <f t="shared" si="28"/>
        <v>12451.7</v>
      </c>
      <c r="Q50" s="406">
        <f t="shared" si="28"/>
        <v>20951.7</v>
      </c>
      <c r="R50" s="406">
        <f t="shared" si="28"/>
        <v>29451.7</v>
      </c>
      <c r="S50" s="406">
        <f t="shared" si="28"/>
        <v>35911.699999999997</v>
      </c>
      <c r="T50" s="406">
        <f t="shared" si="28"/>
        <v>44411.7</v>
      </c>
      <c r="U50" s="406">
        <f t="shared" si="28"/>
        <v>52911.7</v>
      </c>
      <c r="V50" s="406">
        <f t="shared" si="28"/>
        <v>61411.7</v>
      </c>
      <c r="W50" s="406">
        <f t="shared" si="28"/>
        <v>61411.7</v>
      </c>
      <c r="X50" s="408"/>
    </row>
    <row r="51" spans="1:24" s="409" customFormat="1" ht="11.25" x14ac:dyDescent="0.2">
      <c r="B51" s="409">
        <f>IF($C$52=B50,B$3,0)</f>
        <v>0</v>
      </c>
      <c r="C51" s="409">
        <f t="shared" ref="C51:W51" si="29">IF($C$52=C50,C$3,0)</f>
        <v>0</v>
      </c>
      <c r="D51" s="409">
        <f t="shared" si="29"/>
        <v>0</v>
      </c>
      <c r="E51" s="409">
        <f t="shared" si="29"/>
        <v>0</v>
      </c>
      <c r="F51" s="409">
        <f t="shared" si="29"/>
        <v>0</v>
      </c>
      <c r="G51" s="409">
        <f t="shared" si="29"/>
        <v>0</v>
      </c>
      <c r="H51" s="409">
        <f t="shared" si="29"/>
        <v>0</v>
      </c>
      <c r="I51" s="409">
        <f t="shared" si="29"/>
        <v>0</v>
      </c>
      <c r="J51" s="409">
        <f t="shared" si="29"/>
        <v>9</v>
      </c>
      <c r="K51" s="409">
        <f t="shared" si="29"/>
        <v>10</v>
      </c>
      <c r="L51" s="409">
        <f t="shared" si="29"/>
        <v>0</v>
      </c>
      <c r="M51" s="409">
        <f t="shared" si="29"/>
        <v>0</v>
      </c>
      <c r="N51" s="409">
        <f t="shared" si="29"/>
        <v>0</v>
      </c>
      <c r="O51" s="409">
        <f t="shared" si="29"/>
        <v>0</v>
      </c>
      <c r="P51" s="409">
        <f t="shared" si="29"/>
        <v>0</v>
      </c>
      <c r="Q51" s="409">
        <f t="shared" si="29"/>
        <v>0</v>
      </c>
      <c r="R51" s="409">
        <f t="shared" si="29"/>
        <v>0</v>
      </c>
      <c r="S51" s="409">
        <f t="shared" si="29"/>
        <v>0</v>
      </c>
      <c r="T51" s="409">
        <f t="shared" si="29"/>
        <v>0</v>
      </c>
      <c r="U51" s="409">
        <f t="shared" si="29"/>
        <v>0</v>
      </c>
      <c r="V51" s="409">
        <f t="shared" si="29"/>
        <v>0</v>
      </c>
      <c r="W51" s="409">
        <f t="shared" si="29"/>
        <v>0</v>
      </c>
    </row>
    <row r="52" spans="1:24" s="405" customFormat="1" x14ac:dyDescent="0.25">
      <c r="A52" s="405" t="s">
        <v>411</v>
      </c>
      <c r="B52" s="408"/>
      <c r="C52" s="406">
        <f>MIN(B50:W50)</f>
        <v>-25968.3</v>
      </c>
      <c r="D52" s="408"/>
      <c r="E52" s="408" t="s">
        <v>413</v>
      </c>
      <c r="F52" s="408"/>
      <c r="G52" s="408">
        <f>MAX(B51:W51)</f>
        <v>10</v>
      </c>
      <c r="H52" s="408" t="s">
        <v>430</v>
      </c>
      <c r="I52" s="408"/>
      <c r="J52" s="408"/>
      <c r="K52" s="408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08"/>
      <c r="X52" s="408"/>
    </row>
    <row r="53" spans="1:24" s="405" customFormat="1" x14ac:dyDescent="0.25">
      <c r="A53" s="405" t="s">
        <v>412</v>
      </c>
      <c r="B53" s="408"/>
      <c r="C53" s="408">
        <f>-C52*1.2</f>
        <v>31161.96</v>
      </c>
      <c r="D53" s="408"/>
      <c r="E53" s="408" t="s">
        <v>415</v>
      </c>
      <c r="F53" s="408"/>
      <c r="G53" s="408"/>
      <c r="H53" s="408"/>
      <c r="I53" s="408"/>
      <c r="J53" s="408"/>
      <c r="K53" s="408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08"/>
      <c r="X53" s="408"/>
    </row>
    <row r="55" spans="1:24" x14ac:dyDescent="0.25">
      <c r="A55" s="146" t="s">
        <v>465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257"/>
      <c r="M55" s="257"/>
      <c r="N55" s="257"/>
      <c r="O55" s="257"/>
    </row>
    <row r="56" spans="1:24" x14ac:dyDescent="0.25">
      <c r="A56" s="476" t="s">
        <v>464</v>
      </c>
      <c r="B56" s="479">
        <v>1</v>
      </c>
      <c r="C56" s="191" t="s">
        <v>470</v>
      </c>
      <c r="F56" s="191"/>
      <c r="G56" s="191"/>
      <c r="H56" s="191"/>
      <c r="I56" s="191"/>
      <c r="J56" s="191"/>
      <c r="K56" s="191">
        <f>W39</f>
        <v>82086.987473545305</v>
      </c>
      <c r="L56" s="257"/>
      <c r="N56" s="257"/>
      <c r="O56" s="257"/>
    </row>
    <row r="57" spans="1:24" x14ac:dyDescent="0.25">
      <c r="A57" s="476" t="s">
        <v>464</v>
      </c>
      <c r="B57" s="479">
        <v>1</v>
      </c>
      <c r="C57" s="191" t="s">
        <v>471</v>
      </c>
      <c r="F57" s="191"/>
      <c r="G57" s="191"/>
      <c r="K57" s="191">
        <f>W39</f>
        <v>82086.987473545305</v>
      </c>
    </row>
  </sheetData>
  <pageMargins left="0.70866141732283472" right="0.70866141732283472" top="0.74803149606299213" bottom="0.74803149606299213" header="0.31496062992125984" footer="0.31496062992125984"/>
  <pageSetup paperSize="9" scale="79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workbookViewId="0">
      <pane xSplit="1" ySplit="3" topLeftCell="E20" activePane="bottomRight" state="frozen"/>
      <selection pane="topRight" activeCell="B1" sqref="B1"/>
      <selection pane="bottomLeft" activeCell="A4" sqref="A4"/>
      <selection pane="bottomRight" activeCell="W29" sqref="W29"/>
    </sheetView>
  </sheetViews>
  <sheetFormatPr defaultRowHeight="15" x14ac:dyDescent="0.25"/>
  <cols>
    <col min="1" max="1" width="27.140625" customWidth="1"/>
    <col min="2" max="2" width="6.5703125" style="21" customWidth="1"/>
    <col min="3" max="11" width="5.42578125" style="21" customWidth="1"/>
    <col min="12" max="16" width="5.7109375" style="37" customWidth="1"/>
    <col min="17" max="17" width="7.28515625" style="37" customWidth="1"/>
    <col min="18" max="18" width="7" style="37" customWidth="1"/>
    <col min="19" max="19" width="5.7109375" style="37" customWidth="1"/>
    <col min="20" max="20" width="11.28515625" style="37" customWidth="1"/>
    <col min="21" max="22" width="5.7109375" style="37" customWidth="1"/>
    <col min="23" max="23" width="6.85546875" style="21" customWidth="1"/>
    <col min="24" max="24" width="10.28515625" style="21" customWidth="1"/>
  </cols>
  <sheetData>
    <row r="1" spans="1:24" x14ac:dyDescent="0.25">
      <c r="A1" s="47" t="s">
        <v>310</v>
      </c>
      <c r="W1" s="65" t="s">
        <v>38</v>
      </c>
      <c r="X1" s="66">
        <v>0.02</v>
      </c>
    </row>
    <row r="2" spans="1:24" s="225" customFormat="1" x14ac:dyDescent="0.25">
      <c r="A2" s="226" t="s">
        <v>296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8"/>
      <c r="X2" s="228"/>
    </row>
    <row r="3" spans="1:24" ht="15.75" x14ac:dyDescent="0.25">
      <c r="A3" s="38"/>
      <c r="B3" s="203">
        <v>1</v>
      </c>
      <c r="C3" s="203">
        <f>B3+1</f>
        <v>2</v>
      </c>
      <c r="D3" s="203">
        <f t="shared" ref="D3:V3" si="0">C3+1</f>
        <v>3</v>
      </c>
      <c r="E3" s="203">
        <f t="shared" si="0"/>
        <v>4</v>
      </c>
      <c r="F3" s="203">
        <f t="shared" si="0"/>
        <v>5</v>
      </c>
      <c r="G3" s="203">
        <f t="shared" si="0"/>
        <v>6</v>
      </c>
      <c r="H3" s="203">
        <f t="shared" si="0"/>
        <v>7</v>
      </c>
      <c r="I3" s="203">
        <f t="shared" si="0"/>
        <v>8</v>
      </c>
      <c r="J3" s="203">
        <f t="shared" si="0"/>
        <v>9</v>
      </c>
      <c r="K3" s="203">
        <f t="shared" si="0"/>
        <v>10</v>
      </c>
      <c r="L3" s="203">
        <f t="shared" si="0"/>
        <v>11</v>
      </c>
      <c r="M3" s="203">
        <f t="shared" si="0"/>
        <v>12</v>
      </c>
      <c r="N3" s="204">
        <f t="shared" si="0"/>
        <v>13</v>
      </c>
      <c r="O3" s="204">
        <f t="shared" si="0"/>
        <v>14</v>
      </c>
      <c r="P3" s="205">
        <f t="shared" si="0"/>
        <v>15</v>
      </c>
      <c r="Q3" s="205">
        <f t="shared" si="0"/>
        <v>16</v>
      </c>
      <c r="R3" s="206">
        <f t="shared" si="0"/>
        <v>17</v>
      </c>
      <c r="S3" s="206">
        <f t="shared" si="0"/>
        <v>18</v>
      </c>
      <c r="T3" s="207">
        <f t="shared" si="0"/>
        <v>19</v>
      </c>
      <c r="U3" s="207">
        <f t="shared" si="0"/>
        <v>20</v>
      </c>
      <c r="V3" s="207">
        <f t="shared" si="0"/>
        <v>21</v>
      </c>
      <c r="W3" s="39" t="s">
        <v>39</v>
      </c>
      <c r="X3" s="39" t="s">
        <v>40</v>
      </c>
    </row>
    <row r="4" spans="1:24" ht="30" x14ac:dyDescent="0.25">
      <c r="A4" s="219" t="s">
        <v>89</v>
      </c>
      <c r="B4" s="67"/>
      <c r="C4" s="67"/>
      <c r="D4" s="67"/>
      <c r="E4" s="67"/>
      <c r="F4" s="67"/>
      <c r="G4" s="67"/>
      <c r="H4" s="67"/>
      <c r="I4" s="67"/>
      <c r="J4" s="67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s="21" customFormat="1" hidden="1" x14ac:dyDescent="0.2">
      <c r="A5" s="54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39"/>
      <c r="O5" s="39"/>
      <c r="P5" s="39"/>
      <c r="Q5" s="39"/>
      <c r="R5" s="39"/>
      <c r="S5" s="39"/>
      <c r="T5" s="39"/>
      <c r="U5" s="39"/>
      <c r="V5" s="39"/>
      <c r="W5" s="39"/>
      <c r="X5" s="41"/>
    </row>
    <row r="6" spans="1:24" s="21" customFormat="1" hidden="1" x14ac:dyDescent="0.2">
      <c r="A6" s="54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218"/>
      <c r="P6" s="39"/>
      <c r="Q6" s="39"/>
      <c r="R6" s="39"/>
      <c r="S6" s="39"/>
      <c r="T6" s="39"/>
      <c r="U6" s="39"/>
      <c r="V6" s="39"/>
      <c r="W6" s="39"/>
      <c r="X6" s="41"/>
    </row>
    <row r="7" spans="1:24" s="21" customFormat="1" hidden="1" x14ac:dyDescent="0.2">
      <c r="A7" s="54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39"/>
      <c r="O7" s="39"/>
      <c r="P7" s="218"/>
      <c r="Q7" s="39"/>
      <c r="R7" s="39"/>
      <c r="S7" s="39"/>
      <c r="T7" s="39"/>
      <c r="U7" s="39"/>
      <c r="V7" s="39"/>
      <c r="W7" s="39"/>
      <c r="X7" s="41"/>
    </row>
    <row r="8" spans="1:24" s="21" customFormat="1" ht="30" x14ac:dyDescent="0.2">
      <c r="A8" s="219" t="s">
        <v>298</v>
      </c>
      <c r="B8" s="216">
        <f>-B5-B6-B7</f>
        <v>0</v>
      </c>
      <c r="C8" s="216">
        <f t="shared" ref="C8:V8" si="1">-C5-C6-C7</f>
        <v>0</v>
      </c>
      <c r="D8" s="216">
        <f t="shared" si="1"/>
        <v>0</v>
      </c>
      <c r="E8" s="216">
        <f t="shared" si="1"/>
        <v>0</v>
      </c>
      <c r="F8" s="216">
        <f t="shared" si="1"/>
        <v>0</v>
      </c>
      <c r="G8" s="216">
        <f t="shared" si="1"/>
        <v>0</v>
      </c>
      <c r="H8" s="216">
        <f t="shared" si="1"/>
        <v>0</v>
      </c>
      <c r="I8" s="216">
        <f t="shared" si="1"/>
        <v>0</v>
      </c>
      <c r="J8" s="216">
        <f t="shared" si="1"/>
        <v>0</v>
      </c>
      <c r="K8" s="216">
        <f t="shared" si="1"/>
        <v>0</v>
      </c>
      <c r="L8" s="216">
        <f t="shared" si="1"/>
        <v>0</v>
      </c>
      <c r="M8" s="216">
        <f t="shared" si="1"/>
        <v>0</v>
      </c>
      <c r="N8" s="216">
        <f t="shared" si="1"/>
        <v>0</v>
      </c>
      <c r="O8" s="216">
        <f t="shared" si="1"/>
        <v>0</v>
      </c>
      <c r="P8" s="216">
        <f t="shared" si="1"/>
        <v>0</v>
      </c>
      <c r="Q8" s="216">
        <f t="shared" si="1"/>
        <v>0</v>
      </c>
      <c r="R8" s="216">
        <f t="shared" si="1"/>
        <v>0</v>
      </c>
      <c r="S8" s="216">
        <f t="shared" si="1"/>
        <v>0</v>
      </c>
      <c r="T8" s="216">
        <f t="shared" si="1"/>
        <v>0</v>
      </c>
      <c r="U8" s="216">
        <f t="shared" si="1"/>
        <v>0</v>
      </c>
      <c r="V8" s="216">
        <f t="shared" si="1"/>
        <v>0</v>
      </c>
      <c r="W8" s="221">
        <f>SUM(B8:V8)</f>
        <v>0</v>
      </c>
      <c r="X8" s="41">
        <f>NPV($X$1,B8:V8)</f>
        <v>0</v>
      </c>
    </row>
    <row r="9" spans="1:24" s="21" customFormat="1" ht="30" x14ac:dyDescent="0.2">
      <c r="A9" s="219" t="s">
        <v>297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39"/>
      <c r="X9" s="41"/>
    </row>
    <row r="10" spans="1:24" s="21" customFormat="1" ht="45" x14ac:dyDescent="0.2">
      <c r="A10" s="54" t="s">
        <v>295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39"/>
      <c r="O10" s="39"/>
      <c r="P10" s="39"/>
      <c r="Q10" s="39"/>
      <c r="R10" s="218">
        <f>ИсхСем!$C$3</f>
        <v>800.00000000000011</v>
      </c>
      <c r="S10" s="218">
        <f>ИсхСем!$C$4</f>
        <v>800.00000000000011</v>
      </c>
      <c r="T10" s="39"/>
      <c r="U10" s="39"/>
      <c r="V10" s="39"/>
      <c r="W10" s="218">
        <f>SUM(B10:V10)</f>
        <v>1600.0000000000002</v>
      </c>
      <c r="X10" s="41"/>
    </row>
    <row r="11" spans="1:24" s="21" customFormat="1" x14ac:dyDescent="0.2">
      <c r="A11" s="54" t="s">
        <v>299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39"/>
      <c r="O11" s="39"/>
      <c r="P11" s="39"/>
      <c r="Q11" s="39"/>
      <c r="R11" s="39"/>
      <c r="S11" s="218">
        <f>ИсхСем!$D$4</f>
        <v>2040</v>
      </c>
      <c r="T11" s="39"/>
      <c r="U11" s="39"/>
      <c r="V11" s="218">
        <f>ИсхСем!$D$3</f>
        <v>0</v>
      </c>
      <c r="W11" s="218">
        <f>SUM(B11:V11)</f>
        <v>2040</v>
      </c>
      <c r="X11" s="41"/>
    </row>
    <row r="12" spans="1:24" ht="45" x14ac:dyDescent="0.25">
      <c r="A12" s="219" t="s">
        <v>300</v>
      </c>
      <c r="B12" s="221">
        <f>B11-B10</f>
        <v>0</v>
      </c>
      <c r="C12" s="221">
        <f t="shared" ref="C12:V12" si="2">C11-C10</f>
        <v>0</v>
      </c>
      <c r="D12" s="221">
        <f t="shared" si="2"/>
        <v>0</v>
      </c>
      <c r="E12" s="221">
        <f t="shared" si="2"/>
        <v>0</v>
      </c>
      <c r="F12" s="221">
        <f t="shared" si="2"/>
        <v>0</v>
      </c>
      <c r="G12" s="221">
        <f t="shared" si="2"/>
        <v>0</v>
      </c>
      <c r="H12" s="221">
        <f t="shared" si="2"/>
        <v>0</v>
      </c>
      <c r="I12" s="221">
        <f t="shared" si="2"/>
        <v>0</v>
      </c>
      <c r="J12" s="221">
        <f t="shared" si="2"/>
        <v>0</v>
      </c>
      <c r="K12" s="221">
        <f t="shared" si="2"/>
        <v>0</v>
      </c>
      <c r="L12" s="221">
        <f t="shared" si="2"/>
        <v>0</v>
      </c>
      <c r="M12" s="221">
        <f t="shared" si="2"/>
        <v>0</v>
      </c>
      <c r="N12" s="221">
        <f t="shared" si="2"/>
        <v>0</v>
      </c>
      <c r="O12" s="221">
        <f t="shared" si="2"/>
        <v>0</v>
      </c>
      <c r="P12" s="221">
        <f t="shared" si="2"/>
        <v>0</v>
      </c>
      <c r="Q12" s="221">
        <f t="shared" si="2"/>
        <v>0</v>
      </c>
      <c r="R12" s="221">
        <f t="shared" si="2"/>
        <v>-800.00000000000011</v>
      </c>
      <c r="S12" s="221">
        <f t="shared" si="2"/>
        <v>1240</v>
      </c>
      <c r="T12" s="221">
        <f t="shared" si="2"/>
        <v>0</v>
      </c>
      <c r="U12" s="221">
        <f t="shared" si="2"/>
        <v>0</v>
      </c>
      <c r="V12" s="221">
        <f t="shared" si="2"/>
        <v>0</v>
      </c>
      <c r="W12" s="221">
        <f>SUM(B12:V12)</f>
        <v>439.99999999999989</v>
      </c>
      <c r="X12" s="41">
        <f>NPV($X$1,B12:V12)</f>
        <v>296.86757498542408</v>
      </c>
    </row>
    <row r="13" spans="1:24" ht="30" x14ac:dyDescent="0.25">
      <c r="A13" s="219" t="s">
        <v>301</v>
      </c>
      <c r="B13" s="221">
        <f t="shared" ref="B13:V13" si="3">B8+B12</f>
        <v>0</v>
      </c>
      <c r="C13" s="221">
        <f t="shared" si="3"/>
        <v>0</v>
      </c>
      <c r="D13" s="221">
        <f t="shared" si="3"/>
        <v>0</v>
      </c>
      <c r="E13" s="221">
        <f t="shared" si="3"/>
        <v>0</v>
      </c>
      <c r="F13" s="221">
        <f t="shared" si="3"/>
        <v>0</v>
      </c>
      <c r="G13" s="221">
        <f t="shared" si="3"/>
        <v>0</v>
      </c>
      <c r="H13" s="221">
        <f t="shared" si="3"/>
        <v>0</v>
      </c>
      <c r="I13" s="221">
        <f t="shared" si="3"/>
        <v>0</v>
      </c>
      <c r="J13" s="221">
        <f t="shared" si="3"/>
        <v>0</v>
      </c>
      <c r="K13" s="221">
        <f t="shared" si="3"/>
        <v>0</v>
      </c>
      <c r="L13" s="221">
        <f t="shared" si="3"/>
        <v>0</v>
      </c>
      <c r="M13" s="221">
        <f t="shared" si="3"/>
        <v>0</v>
      </c>
      <c r="N13" s="221">
        <f t="shared" si="3"/>
        <v>0</v>
      </c>
      <c r="O13" s="221">
        <f t="shared" si="3"/>
        <v>0</v>
      </c>
      <c r="P13" s="221">
        <f t="shared" si="3"/>
        <v>0</v>
      </c>
      <c r="Q13" s="221">
        <f t="shared" si="3"/>
        <v>0</v>
      </c>
      <c r="R13" s="221">
        <f t="shared" si="3"/>
        <v>-800.00000000000011</v>
      </c>
      <c r="S13" s="221">
        <f t="shared" si="3"/>
        <v>1240</v>
      </c>
      <c r="T13" s="221">
        <f t="shared" si="3"/>
        <v>0</v>
      </c>
      <c r="U13" s="221">
        <f t="shared" si="3"/>
        <v>0</v>
      </c>
      <c r="V13" s="221">
        <f t="shared" si="3"/>
        <v>0</v>
      </c>
      <c r="W13" s="221">
        <f>SUM(B13:V13)</f>
        <v>439.99999999999989</v>
      </c>
      <c r="X13" s="41">
        <f>NPV($X$1,B13:V13)</f>
        <v>296.86757498542408</v>
      </c>
    </row>
    <row r="14" spans="1:24" ht="26.25" x14ac:dyDescent="0.25">
      <c r="A14" s="240" t="s">
        <v>317</v>
      </c>
      <c r="B14" s="218">
        <f>B13</f>
        <v>0</v>
      </c>
      <c r="C14" s="218">
        <f>B14+C13</f>
        <v>0</v>
      </c>
      <c r="D14" s="218">
        <f t="shared" ref="D14:V14" si="4">C14+D13</f>
        <v>0</v>
      </c>
      <c r="E14" s="218">
        <f t="shared" si="4"/>
        <v>0</v>
      </c>
      <c r="F14" s="218">
        <f t="shared" si="4"/>
        <v>0</v>
      </c>
      <c r="G14" s="218">
        <f t="shared" si="4"/>
        <v>0</v>
      </c>
      <c r="H14" s="218">
        <f t="shared" si="4"/>
        <v>0</v>
      </c>
      <c r="I14" s="218">
        <f t="shared" si="4"/>
        <v>0</v>
      </c>
      <c r="J14" s="218">
        <f t="shared" si="4"/>
        <v>0</v>
      </c>
      <c r="K14" s="218">
        <f t="shared" si="4"/>
        <v>0</v>
      </c>
      <c r="L14" s="218">
        <f t="shared" si="4"/>
        <v>0</v>
      </c>
      <c r="M14" s="218">
        <f t="shared" si="4"/>
        <v>0</v>
      </c>
      <c r="N14" s="218">
        <f t="shared" si="4"/>
        <v>0</v>
      </c>
      <c r="O14" s="218">
        <f t="shared" si="4"/>
        <v>0</v>
      </c>
      <c r="P14" s="218">
        <f t="shared" si="4"/>
        <v>0</v>
      </c>
      <c r="Q14" s="218">
        <f t="shared" si="4"/>
        <v>0</v>
      </c>
      <c r="R14" s="218">
        <f t="shared" si="4"/>
        <v>-800.00000000000011</v>
      </c>
      <c r="S14" s="218">
        <f t="shared" si="4"/>
        <v>439.99999999999989</v>
      </c>
      <c r="T14" s="218">
        <f t="shared" si="4"/>
        <v>439.99999999999989</v>
      </c>
      <c r="U14" s="218">
        <f t="shared" si="4"/>
        <v>439.99999999999989</v>
      </c>
      <c r="V14" s="218">
        <f t="shared" si="4"/>
        <v>439.99999999999989</v>
      </c>
      <c r="W14" s="221"/>
      <c r="X14" s="41"/>
    </row>
    <row r="15" spans="1:24" ht="30" x14ac:dyDescent="0.25">
      <c r="A15" s="219" t="s">
        <v>50</v>
      </c>
      <c r="B15" s="95">
        <f t="shared" ref="B15:V15" si="5">B13/(1+$X$1)^B3</f>
        <v>0</v>
      </c>
      <c r="C15" s="95">
        <f t="shared" si="5"/>
        <v>0</v>
      </c>
      <c r="D15" s="95">
        <f t="shared" si="5"/>
        <v>0</v>
      </c>
      <c r="E15" s="95">
        <f t="shared" si="5"/>
        <v>0</v>
      </c>
      <c r="F15" s="95">
        <f t="shared" si="5"/>
        <v>0</v>
      </c>
      <c r="G15" s="95">
        <f t="shared" si="5"/>
        <v>0</v>
      </c>
      <c r="H15" s="95">
        <f t="shared" si="5"/>
        <v>0</v>
      </c>
      <c r="I15" s="95">
        <f t="shared" si="5"/>
        <v>0</v>
      </c>
      <c r="J15" s="95">
        <f t="shared" si="5"/>
        <v>0</v>
      </c>
      <c r="K15" s="95">
        <f t="shared" si="5"/>
        <v>0</v>
      </c>
      <c r="L15" s="95">
        <f t="shared" si="5"/>
        <v>0</v>
      </c>
      <c r="M15" s="95">
        <f t="shared" si="5"/>
        <v>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5">
        <f t="shared" si="5"/>
        <v>0</v>
      </c>
      <c r="R15" s="95">
        <f t="shared" si="5"/>
        <v>-571.3300499719486</v>
      </c>
      <c r="S15" s="95">
        <f t="shared" si="5"/>
        <v>868.19762495737291</v>
      </c>
      <c r="T15" s="95">
        <f t="shared" si="5"/>
        <v>0</v>
      </c>
      <c r="U15" s="95">
        <f t="shared" si="5"/>
        <v>0</v>
      </c>
      <c r="V15" s="95">
        <f t="shared" si="5"/>
        <v>0</v>
      </c>
      <c r="W15" s="67">
        <f>SUM(B15:V15)</f>
        <v>296.86757498542431</v>
      </c>
      <c r="X15" s="39" t="s">
        <v>48</v>
      </c>
    </row>
    <row r="16" spans="1:24" s="144" customFormat="1" ht="12.75" x14ac:dyDescent="0.2">
      <c r="A16" s="139" t="s">
        <v>42</v>
      </c>
      <c r="B16" s="230">
        <f>B15</f>
        <v>0</v>
      </c>
      <c r="C16" s="230">
        <f>B16+C15</f>
        <v>0</v>
      </c>
      <c r="D16" s="230">
        <f t="shared" ref="D16:V16" si="6">C16+D15</f>
        <v>0</v>
      </c>
      <c r="E16" s="230">
        <f t="shared" si="6"/>
        <v>0</v>
      </c>
      <c r="F16" s="230">
        <f t="shared" si="6"/>
        <v>0</v>
      </c>
      <c r="G16" s="230">
        <f t="shared" si="6"/>
        <v>0</v>
      </c>
      <c r="H16" s="230">
        <f t="shared" si="6"/>
        <v>0</v>
      </c>
      <c r="I16" s="230">
        <f t="shared" si="6"/>
        <v>0</v>
      </c>
      <c r="J16" s="230">
        <f t="shared" si="6"/>
        <v>0</v>
      </c>
      <c r="K16" s="230">
        <f t="shared" si="6"/>
        <v>0</v>
      </c>
      <c r="L16" s="230">
        <f t="shared" si="6"/>
        <v>0</v>
      </c>
      <c r="M16" s="230">
        <f t="shared" si="6"/>
        <v>0</v>
      </c>
      <c r="N16" s="230">
        <f t="shared" si="6"/>
        <v>0</v>
      </c>
      <c r="O16" s="230">
        <f t="shared" si="6"/>
        <v>0</v>
      </c>
      <c r="P16" s="230">
        <f t="shared" si="6"/>
        <v>0</v>
      </c>
      <c r="Q16" s="230">
        <f t="shared" si="6"/>
        <v>0</v>
      </c>
      <c r="R16" s="230">
        <f t="shared" si="6"/>
        <v>-571.3300499719486</v>
      </c>
      <c r="S16" s="230">
        <f t="shared" si="6"/>
        <v>296.86757498542431</v>
      </c>
      <c r="T16" s="230">
        <f t="shared" si="6"/>
        <v>296.86757498542431</v>
      </c>
      <c r="U16" s="230">
        <f t="shared" si="6"/>
        <v>296.86757498542431</v>
      </c>
      <c r="V16" s="230">
        <f t="shared" si="6"/>
        <v>296.86757498542431</v>
      </c>
      <c r="W16" s="73" t="s">
        <v>44</v>
      </c>
      <c r="X16" s="317">
        <f>IRR(B13:V13)</f>
        <v>0.54999999999999982</v>
      </c>
    </row>
    <row r="17" spans="1:24" s="72" customFormat="1" ht="12.75" x14ac:dyDescent="0.2">
      <c r="A17" s="51"/>
      <c r="B17" s="69">
        <f t="shared" ref="B17:U17" si="7">IF(AND(B16&lt;0,C16&gt;0),B3+(-B16/(-B16+C16)),0)</f>
        <v>0</v>
      </c>
      <c r="C17" s="69">
        <f t="shared" si="7"/>
        <v>0</v>
      </c>
      <c r="D17" s="69">
        <f t="shared" si="7"/>
        <v>0</v>
      </c>
      <c r="E17" s="69">
        <f t="shared" si="7"/>
        <v>0</v>
      </c>
      <c r="F17" s="69">
        <f t="shared" si="7"/>
        <v>0</v>
      </c>
      <c r="G17" s="69">
        <f t="shared" si="7"/>
        <v>0</v>
      </c>
      <c r="H17" s="69">
        <f t="shared" si="7"/>
        <v>0</v>
      </c>
      <c r="I17" s="69">
        <f t="shared" si="7"/>
        <v>0</v>
      </c>
      <c r="J17" s="69">
        <f t="shared" si="7"/>
        <v>0</v>
      </c>
      <c r="K17" s="69">
        <f t="shared" si="7"/>
        <v>0</v>
      </c>
      <c r="L17" s="69">
        <f t="shared" si="7"/>
        <v>0</v>
      </c>
      <c r="M17" s="69">
        <f t="shared" si="7"/>
        <v>0</v>
      </c>
      <c r="N17" s="69">
        <f t="shared" si="7"/>
        <v>0</v>
      </c>
      <c r="O17" s="69">
        <f t="shared" si="7"/>
        <v>0</v>
      </c>
      <c r="P17" s="69">
        <f t="shared" si="7"/>
        <v>0</v>
      </c>
      <c r="Q17" s="69">
        <f t="shared" si="7"/>
        <v>0</v>
      </c>
      <c r="R17" s="69">
        <f t="shared" si="7"/>
        <v>17.658064516129031</v>
      </c>
      <c r="S17" s="69">
        <f t="shared" si="7"/>
        <v>0</v>
      </c>
      <c r="T17" s="69">
        <f t="shared" si="7"/>
        <v>0</v>
      </c>
      <c r="U17" s="69">
        <f t="shared" si="7"/>
        <v>0</v>
      </c>
      <c r="V17" s="69"/>
      <c r="W17" s="70" t="s">
        <v>49</v>
      </c>
      <c r="X17" s="71">
        <f>MAX(B17:V17)</f>
        <v>17.658064516129031</v>
      </c>
    </row>
    <row r="18" spans="1:24" s="46" customFormat="1" ht="15.75" x14ac:dyDescent="0.25">
      <c r="A18" s="45" t="s">
        <v>312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>
        <f>MIN(B14:V14)</f>
        <v>-800.00000000000011</v>
      </c>
      <c r="R18" s="68" t="s">
        <v>121</v>
      </c>
      <c r="S18" s="68"/>
      <c r="T18" s="68"/>
      <c r="U18" s="68"/>
      <c r="V18" s="68"/>
      <c r="W18" s="73"/>
      <c r="X18" s="74"/>
    </row>
    <row r="19" spans="1:24" x14ac:dyDescent="0.25">
      <c r="A19" s="226" t="s">
        <v>302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8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8"/>
      <c r="X19" s="228"/>
    </row>
    <row r="20" spans="1:24" ht="15.75" x14ac:dyDescent="0.25">
      <c r="A20" s="38"/>
      <c r="B20" s="208">
        <v>1</v>
      </c>
      <c r="C20" s="209">
        <f>B20+1</f>
        <v>2</v>
      </c>
      <c r="D20" s="210">
        <f t="shared" ref="D20:V20" si="8">C20+1</f>
        <v>3</v>
      </c>
      <c r="E20" s="210">
        <f t="shared" si="8"/>
        <v>4</v>
      </c>
      <c r="F20" s="211">
        <f t="shared" si="8"/>
        <v>5</v>
      </c>
      <c r="G20" s="212">
        <f t="shared" si="8"/>
        <v>6</v>
      </c>
      <c r="H20" s="212">
        <f t="shared" si="8"/>
        <v>7</v>
      </c>
      <c r="I20" s="213">
        <f t="shared" si="8"/>
        <v>8</v>
      </c>
      <c r="J20" s="213">
        <f t="shared" si="8"/>
        <v>9</v>
      </c>
      <c r="K20" s="207">
        <f t="shared" si="8"/>
        <v>10</v>
      </c>
      <c r="L20" s="207">
        <f t="shared" si="8"/>
        <v>11</v>
      </c>
      <c r="M20" s="207">
        <f t="shared" si="8"/>
        <v>12</v>
      </c>
      <c r="N20" s="207">
        <f t="shared" si="8"/>
        <v>13</v>
      </c>
      <c r="O20" s="207">
        <f t="shared" si="8"/>
        <v>14</v>
      </c>
      <c r="P20" s="207">
        <f t="shared" si="8"/>
        <v>15</v>
      </c>
      <c r="Q20" s="207">
        <f t="shared" si="8"/>
        <v>16</v>
      </c>
      <c r="R20" s="207">
        <f t="shared" si="8"/>
        <v>17</v>
      </c>
      <c r="S20" s="207">
        <f t="shared" si="8"/>
        <v>18</v>
      </c>
      <c r="T20" s="207">
        <f t="shared" si="8"/>
        <v>19</v>
      </c>
      <c r="U20" s="207">
        <f t="shared" si="8"/>
        <v>20</v>
      </c>
      <c r="V20" s="207">
        <f t="shared" si="8"/>
        <v>21</v>
      </c>
      <c r="W20" s="39" t="s">
        <v>39</v>
      </c>
      <c r="X20" s="39" t="s">
        <v>40</v>
      </c>
    </row>
    <row r="21" spans="1:24" s="21" customFormat="1" ht="12.75" x14ac:dyDescent="0.2">
      <c r="A21" s="318" t="s">
        <v>89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39">
        <f t="shared" ref="W21:W34" si="9">SUM(B21:V21)</f>
        <v>0</v>
      </c>
      <c r="X21" s="41"/>
    </row>
    <row r="22" spans="1:24" s="21" customFormat="1" ht="12.75" hidden="1" x14ac:dyDescent="0.2">
      <c r="A22" s="53"/>
      <c r="B22" s="217"/>
      <c r="C22" s="90"/>
      <c r="D22" s="90"/>
      <c r="E22" s="90"/>
      <c r="F22" s="230"/>
      <c r="G22" s="23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39">
        <f t="shared" si="9"/>
        <v>0</v>
      </c>
      <c r="X22" s="41"/>
    </row>
    <row r="23" spans="1:24" s="21" customFormat="1" ht="12.75" hidden="1" x14ac:dyDescent="0.2">
      <c r="A23" s="53"/>
      <c r="B23" s="90"/>
      <c r="C23" s="217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39">
        <f t="shared" si="9"/>
        <v>0</v>
      </c>
      <c r="X23" s="41"/>
    </row>
    <row r="24" spans="1:24" s="21" customFormat="1" ht="12.75" hidden="1" x14ac:dyDescent="0.2">
      <c r="A24" s="53"/>
      <c r="B24" s="90"/>
      <c r="C24" s="90"/>
      <c r="D24" s="217"/>
      <c r="E24" s="217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39">
        <f t="shared" si="9"/>
        <v>0</v>
      </c>
      <c r="X24" s="41"/>
    </row>
    <row r="25" spans="1:24" s="21" customFormat="1" ht="12.75" hidden="1" x14ac:dyDescent="0.2">
      <c r="A25" s="53"/>
      <c r="B25" s="90"/>
      <c r="C25" s="90"/>
      <c r="D25" s="90"/>
      <c r="E25" s="217"/>
      <c r="F25" s="217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39">
        <f t="shared" si="9"/>
        <v>0</v>
      </c>
      <c r="X25" s="41"/>
    </row>
    <row r="26" spans="1:24" s="21" customFormat="1" ht="12.75" hidden="1" x14ac:dyDescent="0.2">
      <c r="A26" s="53"/>
      <c r="B26" s="90"/>
      <c r="C26" s="90"/>
      <c r="D26" s="90"/>
      <c r="E26" s="90"/>
      <c r="F26" s="90"/>
      <c r="G26" s="217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39">
        <f t="shared" si="9"/>
        <v>0</v>
      </c>
      <c r="X26" s="41"/>
    </row>
    <row r="27" spans="1:24" s="21" customFormat="1" ht="25.5" x14ac:dyDescent="0.2">
      <c r="A27" s="318" t="s">
        <v>298</v>
      </c>
      <c r="B27" s="216">
        <f>-B22-B23-B24-B25-B26</f>
        <v>0</v>
      </c>
      <c r="C27" s="216">
        <f t="shared" ref="C27:V27" si="10">-C22-C23-C24-C25-C26</f>
        <v>0</v>
      </c>
      <c r="D27" s="216">
        <f t="shared" si="10"/>
        <v>0</v>
      </c>
      <c r="E27" s="216">
        <f t="shared" si="10"/>
        <v>0</v>
      </c>
      <c r="F27" s="216">
        <f t="shared" si="10"/>
        <v>0</v>
      </c>
      <c r="G27" s="216">
        <f t="shared" si="10"/>
        <v>0</v>
      </c>
      <c r="H27" s="216">
        <f t="shared" si="10"/>
        <v>0</v>
      </c>
      <c r="I27" s="216">
        <f t="shared" si="10"/>
        <v>0</v>
      </c>
      <c r="J27" s="216">
        <f t="shared" si="10"/>
        <v>0</v>
      </c>
      <c r="K27" s="216">
        <f t="shared" si="10"/>
        <v>0</v>
      </c>
      <c r="L27" s="216">
        <f t="shared" si="10"/>
        <v>0</v>
      </c>
      <c r="M27" s="216">
        <f t="shared" si="10"/>
        <v>0</v>
      </c>
      <c r="N27" s="216">
        <f t="shared" si="10"/>
        <v>0</v>
      </c>
      <c r="O27" s="216">
        <f t="shared" si="10"/>
        <v>0</v>
      </c>
      <c r="P27" s="216">
        <f t="shared" si="10"/>
        <v>0</v>
      </c>
      <c r="Q27" s="216">
        <f t="shared" si="10"/>
        <v>0</v>
      </c>
      <c r="R27" s="216">
        <f t="shared" si="10"/>
        <v>0</v>
      </c>
      <c r="S27" s="216">
        <f t="shared" si="10"/>
        <v>0</v>
      </c>
      <c r="T27" s="216">
        <f t="shared" si="10"/>
        <v>0</v>
      </c>
      <c r="U27" s="216">
        <f t="shared" si="10"/>
        <v>0</v>
      </c>
      <c r="V27" s="216">
        <f t="shared" si="10"/>
        <v>0</v>
      </c>
      <c r="W27" s="39">
        <f t="shared" si="9"/>
        <v>0</v>
      </c>
      <c r="X27" s="43">
        <f>NPV($X$1,B27:V27)</f>
        <v>0</v>
      </c>
    </row>
    <row r="28" spans="1:24" s="21" customFormat="1" ht="25.5" x14ac:dyDescent="0.2">
      <c r="A28" s="318" t="s">
        <v>297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>
        <f t="shared" si="9"/>
        <v>0</v>
      </c>
      <c r="X28" s="319"/>
    </row>
    <row r="29" spans="1:24" s="21" customFormat="1" ht="38.25" x14ac:dyDescent="0.2">
      <c r="A29" s="53" t="s">
        <v>308</v>
      </c>
      <c r="B29" s="217"/>
      <c r="C29" s="217"/>
      <c r="D29" s="217"/>
      <c r="E29" s="217"/>
      <c r="F29" s="217"/>
      <c r="G29" s="217"/>
      <c r="H29" s="217"/>
      <c r="I29" s="218">
        <f>ИсхСем!$C$7</f>
        <v>800.00000000000011</v>
      </c>
      <c r="J29" s="218">
        <f>ИсхСем!$C$8</f>
        <v>800.00000000000011</v>
      </c>
      <c r="K29" s="217"/>
      <c r="L29" s="218">
        <f>ИсхСем!$C$7</f>
        <v>800.00000000000011</v>
      </c>
      <c r="M29" s="218">
        <f>ИсхСем!$C$8</f>
        <v>800.00000000000011</v>
      </c>
      <c r="N29" s="217"/>
      <c r="O29" s="218">
        <f>ИсхСем!$C$7</f>
        <v>800.00000000000011</v>
      </c>
      <c r="P29" s="218">
        <f>ИсхСем!$C$8</f>
        <v>800.00000000000011</v>
      </c>
      <c r="Q29" s="217"/>
      <c r="R29" s="218">
        <f>ИсхСем!$C$7</f>
        <v>800.00000000000011</v>
      </c>
      <c r="S29" s="218">
        <f>ИсхСем!$C$8</f>
        <v>800.00000000000011</v>
      </c>
      <c r="T29" s="217"/>
      <c r="U29" s="39"/>
      <c r="V29" s="39"/>
      <c r="W29" s="39">
        <f t="shared" si="9"/>
        <v>6400.0000000000009</v>
      </c>
      <c r="X29" s="39"/>
    </row>
    <row r="30" spans="1:24" s="21" customFormat="1" ht="12.75" x14ac:dyDescent="0.2">
      <c r="A30" s="53" t="s">
        <v>299</v>
      </c>
      <c r="B30" s="217"/>
      <c r="C30" s="217"/>
      <c r="D30" s="217"/>
      <c r="E30" s="217"/>
      <c r="F30" s="217"/>
      <c r="G30" s="217"/>
      <c r="H30" s="217"/>
      <c r="I30" s="39"/>
      <c r="J30" s="218">
        <f>ИсхСем!$D$8</f>
        <v>2040</v>
      </c>
      <c r="K30" s="217"/>
      <c r="L30" s="39"/>
      <c r="M30" s="218">
        <f>ИсхСем!$D$8</f>
        <v>2040</v>
      </c>
      <c r="N30" s="217"/>
      <c r="O30" s="39"/>
      <c r="P30" s="218">
        <f>ИсхСем!$D$8</f>
        <v>2040</v>
      </c>
      <c r="Q30" s="217"/>
      <c r="R30" s="39"/>
      <c r="S30" s="218">
        <f>ИсхСем!$D$8</f>
        <v>2040</v>
      </c>
      <c r="T30" s="217"/>
      <c r="U30" s="39"/>
      <c r="V30" s="218"/>
      <c r="W30" s="39">
        <f t="shared" si="9"/>
        <v>8160</v>
      </c>
      <c r="X30" s="39"/>
    </row>
    <row r="31" spans="1:24" s="21" customFormat="1" ht="25.5" x14ac:dyDescent="0.2">
      <c r="A31" s="318" t="s">
        <v>300</v>
      </c>
      <c r="B31" s="218">
        <f>B30-B29</f>
        <v>0</v>
      </c>
      <c r="C31" s="218">
        <f t="shared" ref="C31:V31" si="11">C30-C29</f>
        <v>0</v>
      </c>
      <c r="D31" s="218">
        <f t="shared" si="11"/>
        <v>0</v>
      </c>
      <c r="E31" s="218">
        <f t="shared" si="11"/>
        <v>0</v>
      </c>
      <c r="F31" s="218">
        <f t="shared" si="11"/>
        <v>0</v>
      </c>
      <c r="G31" s="218">
        <f t="shared" si="11"/>
        <v>0</v>
      </c>
      <c r="H31" s="218">
        <f t="shared" si="11"/>
        <v>0</v>
      </c>
      <c r="I31" s="218">
        <f t="shared" si="11"/>
        <v>-800.00000000000011</v>
      </c>
      <c r="J31" s="218">
        <f t="shared" si="11"/>
        <v>1240</v>
      </c>
      <c r="K31" s="218">
        <f t="shared" si="11"/>
        <v>0</v>
      </c>
      <c r="L31" s="218">
        <f t="shared" si="11"/>
        <v>-800.00000000000011</v>
      </c>
      <c r="M31" s="218">
        <f t="shared" si="11"/>
        <v>1240</v>
      </c>
      <c r="N31" s="218">
        <f t="shared" si="11"/>
        <v>0</v>
      </c>
      <c r="O31" s="218">
        <f t="shared" si="11"/>
        <v>-800.00000000000011</v>
      </c>
      <c r="P31" s="218">
        <f t="shared" si="11"/>
        <v>1240</v>
      </c>
      <c r="Q31" s="218">
        <f t="shared" si="11"/>
        <v>0</v>
      </c>
      <c r="R31" s="218">
        <f t="shared" si="11"/>
        <v>-800.00000000000011</v>
      </c>
      <c r="S31" s="218">
        <f t="shared" si="11"/>
        <v>1240</v>
      </c>
      <c r="T31" s="218">
        <f t="shared" si="11"/>
        <v>0</v>
      </c>
      <c r="U31" s="218">
        <f t="shared" si="11"/>
        <v>0</v>
      </c>
      <c r="V31" s="218">
        <f t="shared" si="11"/>
        <v>0</v>
      </c>
      <c r="W31" s="39">
        <f t="shared" si="9"/>
        <v>1759.9999999999995</v>
      </c>
      <c r="X31" s="43">
        <f>NPV($X$1,B31:V31)</f>
        <v>1301.0111596771853</v>
      </c>
    </row>
    <row r="32" spans="1:24" s="21" customFormat="1" ht="12.75" x14ac:dyDescent="0.2">
      <c r="A32" s="318" t="s">
        <v>309</v>
      </c>
      <c r="B32" s="216">
        <f>B31+B27</f>
        <v>0</v>
      </c>
      <c r="C32" s="216">
        <f t="shared" ref="C32:V32" si="12">C31+C27</f>
        <v>0</v>
      </c>
      <c r="D32" s="216">
        <f t="shared" si="12"/>
        <v>0</v>
      </c>
      <c r="E32" s="216">
        <f t="shared" si="12"/>
        <v>0</v>
      </c>
      <c r="F32" s="216">
        <f t="shared" si="12"/>
        <v>0</v>
      </c>
      <c r="G32" s="216">
        <f t="shared" si="12"/>
        <v>0</v>
      </c>
      <c r="H32" s="216">
        <f t="shared" si="12"/>
        <v>0</v>
      </c>
      <c r="I32" s="216">
        <f t="shared" si="12"/>
        <v>-800.00000000000011</v>
      </c>
      <c r="J32" s="216">
        <f t="shared" si="12"/>
        <v>1240</v>
      </c>
      <c r="K32" s="216">
        <f t="shared" si="12"/>
        <v>0</v>
      </c>
      <c r="L32" s="216">
        <f t="shared" si="12"/>
        <v>-800.00000000000011</v>
      </c>
      <c r="M32" s="216">
        <f t="shared" si="12"/>
        <v>1240</v>
      </c>
      <c r="N32" s="216">
        <f t="shared" si="12"/>
        <v>0</v>
      </c>
      <c r="O32" s="216">
        <f t="shared" si="12"/>
        <v>-800.00000000000011</v>
      </c>
      <c r="P32" s="216">
        <f t="shared" si="12"/>
        <v>1240</v>
      </c>
      <c r="Q32" s="216">
        <f t="shared" si="12"/>
        <v>0</v>
      </c>
      <c r="R32" s="216">
        <f t="shared" si="12"/>
        <v>-800.00000000000011</v>
      </c>
      <c r="S32" s="216">
        <f t="shared" si="12"/>
        <v>1240</v>
      </c>
      <c r="T32" s="216">
        <f t="shared" si="12"/>
        <v>0</v>
      </c>
      <c r="U32" s="216">
        <f t="shared" si="12"/>
        <v>0</v>
      </c>
      <c r="V32" s="216">
        <f t="shared" si="12"/>
        <v>0</v>
      </c>
      <c r="W32" s="39">
        <f t="shared" si="9"/>
        <v>1759.9999999999995</v>
      </c>
      <c r="X32" s="430">
        <f>NPV($X$1,B32:V32)</f>
        <v>1301.0111596771853</v>
      </c>
    </row>
    <row r="33" spans="1:24" s="21" customFormat="1" ht="12.75" x14ac:dyDescent="0.2">
      <c r="A33" s="53" t="s">
        <v>41</v>
      </c>
      <c r="B33" s="218">
        <f>B32</f>
        <v>0</v>
      </c>
      <c r="C33" s="218">
        <f>B33+C32</f>
        <v>0</v>
      </c>
      <c r="D33" s="218">
        <f t="shared" ref="D33:V33" si="13">C33+D32</f>
        <v>0</v>
      </c>
      <c r="E33" s="218">
        <f t="shared" si="13"/>
        <v>0</v>
      </c>
      <c r="F33" s="218">
        <f t="shared" si="13"/>
        <v>0</v>
      </c>
      <c r="G33" s="218">
        <f t="shared" si="13"/>
        <v>0</v>
      </c>
      <c r="H33" s="218">
        <f t="shared" si="13"/>
        <v>0</v>
      </c>
      <c r="I33" s="218">
        <f t="shared" si="13"/>
        <v>-800.00000000000011</v>
      </c>
      <c r="J33" s="218">
        <f t="shared" si="13"/>
        <v>439.99999999999989</v>
      </c>
      <c r="K33" s="218">
        <f t="shared" si="13"/>
        <v>439.99999999999989</v>
      </c>
      <c r="L33" s="218">
        <f t="shared" si="13"/>
        <v>-360.00000000000023</v>
      </c>
      <c r="M33" s="218">
        <f t="shared" si="13"/>
        <v>879.99999999999977</v>
      </c>
      <c r="N33" s="218">
        <f t="shared" si="13"/>
        <v>879.99999999999977</v>
      </c>
      <c r="O33" s="218">
        <f t="shared" si="13"/>
        <v>79.999999999999659</v>
      </c>
      <c r="P33" s="218">
        <f t="shared" si="13"/>
        <v>1319.9999999999995</v>
      </c>
      <c r="Q33" s="218">
        <f t="shared" si="13"/>
        <v>1319.9999999999995</v>
      </c>
      <c r="R33" s="218">
        <f t="shared" si="13"/>
        <v>519.99999999999943</v>
      </c>
      <c r="S33" s="218">
        <f t="shared" si="13"/>
        <v>1759.9999999999995</v>
      </c>
      <c r="T33" s="218">
        <f t="shared" si="13"/>
        <v>1759.9999999999995</v>
      </c>
      <c r="U33" s="218">
        <f t="shared" si="13"/>
        <v>1759.9999999999995</v>
      </c>
      <c r="V33" s="218">
        <f t="shared" si="13"/>
        <v>1759.9999999999995</v>
      </c>
      <c r="W33" s="39">
        <f t="shared" si="9"/>
        <v>11759.999999999996</v>
      </c>
      <c r="X33" s="39"/>
    </row>
    <row r="34" spans="1:24" s="21" customFormat="1" ht="25.5" x14ac:dyDescent="0.2">
      <c r="A34" s="318" t="s">
        <v>50</v>
      </c>
      <c r="B34" s="95">
        <f t="shared" ref="B34:V34" si="14">B32/(1+$X$1)^B20</f>
        <v>0</v>
      </c>
      <c r="C34" s="95">
        <f t="shared" si="14"/>
        <v>0</v>
      </c>
      <c r="D34" s="95">
        <f t="shared" si="14"/>
        <v>0</v>
      </c>
      <c r="E34" s="95">
        <f t="shared" si="14"/>
        <v>0</v>
      </c>
      <c r="F34" s="95">
        <f t="shared" si="14"/>
        <v>0</v>
      </c>
      <c r="G34" s="95">
        <f t="shared" si="14"/>
        <v>0</v>
      </c>
      <c r="H34" s="95">
        <f t="shared" si="14"/>
        <v>0</v>
      </c>
      <c r="I34" s="95">
        <f t="shared" si="14"/>
        <v>-682.79229695208937</v>
      </c>
      <c r="J34" s="95">
        <f t="shared" si="14"/>
        <v>1037.5765296820964</v>
      </c>
      <c r="K34" s="95">
        <f t="shared" si="14"/>
        <v>0</v>
      </c>
      <c r="L34" s="95">
        <f t="shared" si="14"/>
        <v>-643.41043127463183</v>
      </c>
      <c r="M34" s="95">
        <f t="shared" si="14"/>
        <v>977.73153772125397</v>
      </c>
      <c r="N34" s="95">
        <f t="shared" si="14"/>
        <v>0</v>
      </c>
      <c r="O34" s="95">
        <f t="shared" si="14"/>
        <v>-606.30001967063163</v>
      </c>
      <c r="P34" s="95">
        <f t="shared" si="14"/>
        <v>921.33826518576393</v>
      </c>
      <c r="Q34" s="95">
        <f t="shared" si="14"/>
        <v>0</v>
      </c>
      <c r="R34" s="95">
        <f t="shared" si="14"/>
        <v>-571.3300499719486</v>
      </c>
      <c r="S34" s="95">
        <f t="shared" si="14"/>
        <v>868.19762495737291</v>
      </c>
      <c r="T34" s="95">
        <f t="shared" si="14"/>
        <v>0</v>
      </c>
      <c r="U34" s="95">
        <f t="shared" si="14"/>
        <v>0</v>
      </c>
      <c r="V34" s="95">
        <f t="shared" si="14"/>
        <v>0</v>
      </c>
      <c r="W34" s="39">
        <f t="shared" si="9"/>
        <v>1301.0111596771858</v>
      </c>
      <c r="X34" s="39" t="s">
        <v>48</v>
      </c>
    </row>
    <row r="35" spans="1:24" s="21" customFormat="1" ht="12.75" x14ac:dyDescent="0.2">
      <c r="A35" s="89" t="s">
        <v>42</v>
      </c>
      <c r="B35" s="230">
        <f>B34</f>
        <v>0</v>
      </c>
      <c r="C35" s="230">
        <f>B35+C34</f>
        <v>0</v>
      </c>
      <c r="D35" s="230">
        <f t="shared" ref="D35:V35" si="15">C35+D34</f>
        <v>0</v>
      </c>
      <c r="E35" s="230">
        <f t="shared" si="15"/>
        <v>0</v>
      </c>
      <c r="F35" s="230">
        <f t="shared" si="15"/>
        <v>0</v>
      </c>
      <c r="G35" s="230">
        <f t="shared" si="15"/>
        <v>0</v>
      </c>
      <c r="H35" s="230">
        <f t="shared" si="15"/>
        <v>0</v>
      </c>
      <c r="I35" s="230">
        <f t="shared" si="15"/>
        <v>-682.79229695208937</v>
      </c>
      <c r="J35" s="230">
        <f t="shared" si="15"/>
        <v>354.78423273000703</v>
      </c>
      <c r="K35" s="230">
        <f t="shared" si="15"/>
        <v>354.78423273000703</v>
      </c>
      <c r="L35" s="230">
        <f t="shared" si="15"/>
        <v>-288.6261985446248</v>
      </c>
      <c r="M35" s="230">
        <f t="shared" si="15"/>
        <v>689.10533917662917</v>
      </c>
      <c r="N35" s="230">
        <f t="shared" si="15"/>
        <v>689.10533917662917</v>
      </c>
      <c r="O35" s="230">
        <f t="shared" si="15"/>
        <v>82.805319505997545</v>
      </c>
      <c r="P35" s="230">
        <f t="shared" si="15"/>
        <v>1004.1435846917615</v>
      </c>
      <c r="Q35" s="230">
        <f t="shared" si="15"/>
        <v>1004.1435846917615</v>
      </c>
      <c r="R35" s="230">
        <f t="shared" si="15"/>
        <v>432.81353471981288</v>
      </c>
      <c r="S35" s="230">
        <f t="shared" si="15"/>
        <v>1301.0111596771858</v>
      </c>
      <c r="T35" s="230">
        <f t="shared" si="15"/>
        <v>1301.0111596771858</v>
      </c>
      <c r="U35" s="230">
        <f t="shared" si="15"/>
        <v>1301.0111596771858</v>
      </c>
      <c r="V35" s="230">
        <f t="shared" si="15"/>
        <v>1301.0111596771858</v>
      </c>
      <c r="W35" s="320" t="s">
        <v>44</v>
      </c>
      <c r="X35" s="321">
        <f>IRR(B32:V32)</f>
        <v>0.55000000000000004</v>
      </c>
    </row>
    <row r="36" spans="1:24" s="21" customFormat="1" ht="12.75" x14ac:dyDescent="0.2">
      <c r="A36" s="322"/>
      <c r="B36" s="69">
        <f>IF(AND(B35&lt;0,C35&gt;0),B20+(-B35/(-B35+C35)),0)</f>
        <v>0</v>
      </c>
      <c r="C36" s="69">
        <f t="shared" ref="C36:U36" si="16">IF(AND(C35&lt;0,D35&gt;0),C20+(-C35/(-C35+D35)),0)</f>
        <v>0</v>
      </c>
      <c r="D36" s="69">
        <f t="shared" si="16"/>
        <v>0</v>
      </c>
      <c r="E36" s="69">
        <f t="shared" si="16"/>
        <v>0</v>
      </c>
      <c r="F36" s="69">
        <f t="shared" si="16"/>
        <v>0</v>
      </c>
      <c r="G36" s="69">
        <f t="shared" si="16"/>
        <v>0</v>
      </c>
      <c r="H36" s="69">
        <f t="shared" si="16"/>
        <v>0</v>
      </c>
      <c r="I36" s="69">
        <f t="shared" si="16"/>
        <v>8.6580645161290324</v>
      </c>
      <c r="J36" s="69">
        <f t="shared" si="16"/>
        <v>0</v>
      </c>
      <c r="K36" s="69">
        <f t="shared" si="16"/>
        <v>0</v>
      </c>
      <c r="L36" s="69">
        <f t="shared" si="16"/>
        <v>11.29519984516129</v>
      </c>
      <c r="M36" s="69">
        <f t="shared" si="16"/>
        <v>0</v>
      </c>
      <c r="N36" s="69">
        <f t="shared" si="16"/>
        <v>0</v>
      </c>
      <c r="O36" s="69">
        <f t="shared" si="16"/>
        <v>0</v>
      </c>
      <c r="P36" s="69">
        <f t="shared" si="16"/>
        <v>0</v>
      </c>
      <c r="Q36" s="69">
        <f t="shared" si="16"/>
        <v>0</v>
      </c>
      <c r="R36" s="69">
        <f t="shared" si="16"/>
        <v>0</v>
      </c>
      <c r="S36" s="69">
        <f t="shared" si="16"/>
        <v>0</v>
      </c>
      <c r="T36" s="69">
        <f t="shared" si="16"/>
        <v>0</v>
      </c>
      <c r="U36" s="69">
        <f t="shared" si="16"/>
        <v>0</v>
      </c>
      <c r="V36" s="69"/>
      <c r="W36" s="70" t="s">
        <v>49</v>
      </c>
      <c r="X36" s="71">
        <f>MAX(B36:V36)</f>
        <v>11.29519984516129</v>
      </c>
    </row>
    <row r="37" spans="1:24" s="46" customFormat="1" ht="12.75" x14ac:dyDescent="0.2">
      <c r="A37" s="45" t="s">
        <v>311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44"/>
      <c r="M37" s="44"/>
      <c r="N37" s="44"/>
      <c r="O37" s="44"/>
      <c r="P37" s="44"/>
      <c r="Q37" s="231">
        <f>MIN(B33:V33)</f>
        <v>-800.00000000000011</v>
      </c>
      <c r="R37" s="44"/>
      <c r="S37" s="44"/>
      <c r="T37" s="44"/>
      <c r="U37" s="44"/>
      <c r="V37" s="44"/>
      <c r="W37" s="73"/>
      <c r="X37" s="74"/>
    </row>
    <row r="38" spans="1:24" x14ac:dyDescent="0.25">
      <c r="A38" s="318" t="s">
        <v>46</v>
      </c>
      <c r="B38" s="221">
        <f>B32-B13</f>
        <v>0</v>
      </c>
      <c r="C38" s="221">
        <f t="shared" ref="C38:V38" si="17">C32-C13</f>
        <v>0</v>
      </c>
      <c r="D38" s="221">
        <f t="shared" si="17"/>
        <v>0</v>
      </c>
      <c r="E38" s="221">
        <f t="shared" si="17"/>
        <v>0</v>
      </c>
      <c r="F38" s="221">
        <f t="shared" si="17"/>
        <v>0</v>
      </c>
      <c r="G38" s="221">
        <f t="shared" si="17"/>
        <v>0</v>
      </c>
      <c r="H38" s="221">
        <f t="shared" si="17"/>
        <v>0</v>
      </c>
      <c r="I38" s="221">
        <f t="shared" si="17"/>
        <v>-800.00000000000011</v>
      </c>
      <c r="J38" s="221">
        <f t="shared" si="17"/>
        <v>1240</v>
      </c>
      <c r="K38" s="221">
        <f t="shared" si="17"/>
        <v>0</v>
      </c>
      <c r="L38" s="221">
        <f t="shared" si="17"/>
        <v>-800.00000000000011</v>
      </c>
      <c r="M38" s="221">
        <f t="shared" si="17"/>
        <v>1240</v>
      </c>
      <c r="N38" s="221">
        <f t="shared" si="17"/>
        <v>0</v>
      </c>
      <c r="O38" s="221">
        <f t="shared" si="17"/>
        <v>-800.00000000000011</v>
      </c>
      <c r="P38" s="221">
        <f t="shared" si="17"/>
        <v>1240</v>
      </c>
      <c r="Q38" s="221">
        <f t="shared" si="17"/>
        <v>0</v>
      </c>
      <c r="R38" s="221">
        <f t="shared" si="17"/>
        <v>0</v>
      </c>
      <c r="S38" s="221">
        <f t="shared" si="17"/>
        <v>0</v>
      </c>
      <c r="T38" s="221">
        <f t="shared" si="17"/>
        <v>0</v>
      </c>
      <c r="U38" s="221">
        <f t="shared" si="17"/>
        <v>0</v>
      </c>
      <c r="V38" s="221">
        <f t="shared" si="17"/>
        <v>0</v>
      </c>
      <c r="W38" s="39">
        <f>SUM(B38:V38)</f>
        <v>1319.9999999999995</v>
      </c>
      <c r="X38" s="50">
        <f>NPV($X$1,B38:V38)</f>
        <v>1004.143584691761</v>
      </c>
    </row>
    <row r="39" spans="1:24" x14ac:dyDescent="0.25">
      <c r="A39" s="318" t="s">
        <v>47</v>
      </c>
      <c r="B39" s="95">
        <f t="shared" ref="B39:V39" si="18">B38/(1+$X$1)^B$3</f>
        <v>0</v>
      </c>
      <c r="C39" s="95">
        <f t="shared" si="18"/>
        <v>0</v>
      </c>
      <c r="D39" s="95">
        <f t="shared" si="18"/>
        <v>0</v>
      </c>
      <c r="E39" s="95">
        <f t="shared" si="18"/>
        <v>0</v>
      </c>
      <c r="F39" s="95">
        <f t="shared" si="18"/>
        <v>0</v>
      </c>
      <c r="G39" s="95">
        <f t="shared" si="18"/>
        <v>0</v>
      </c>
      <c r="H39" s="95">
        <f t="shared" si="18"/>
        <v>0</v>
      </c>
      <c r="I39" s="95">
        <f t="shared" si="18"/>
        <v>-682.79229695208937</v>
      </c>
      <c r="J39" s="95">
        <f t="shared" si="18"/>
        <v>1037.5765296820964</v>
      </c>
      <c r="K39" s="95">
        <f t="shared" si="18"/>
        <v>0</v>
      </c>
      <c r="L39" s="95">
        <f t="shared" si="18"/>
        <v>-643.41043127463183</v>
      </c>
      <c r="M39" s="95">
        <f t="shared" si="18"/>
        <v>977.73153772125397</v>
      </c>
      <c r="N39" s="95">
        <f t="shared" si="18"/>
        <v>0</v>
      </c>
      <c r="O39" s="95">
        <f t="shared" si="18"/>
        <v>-606.30001967063163</v>
      </c>
      <c r="P39" s="95">
        <f t="shared" si="18"/>
        <v>921.33826518576393</v>
      </c>
      <c r="Q39" s="95">
        <f t="shared" si="18"/>
        <v>0</v>
      </c>
      <c r="R39" s="95">
        <f t="shared" si="18"/>
        <v>0</v>
      </c>
      <c r="S39" s="95">
        <f t="shared" si="18"/>
        <v>0</v>
      </c>
      <c r="T39" s="95">
        <f t="shared" si="18"/>
        <v>0</v>
      </c>
      <c r="U39" s="95">
        <f t="shared" si="18"/>
        <v>0</v>
      </c>
      <c r="V39" s="95">
        <f t="shared" si="18"/>
        <v>0</v>
      </c>
      <c r="W39" s="49">
        <f>SUM(B39:V39)</f>
        <v>1004.1435846917615</v>
      </c>
      <c r="X39" s="39" t="s">
        <v>48</v>
      </c>
    </row>
    <row r="40" spans="1:24" x14ac:dyDescent="0.25">
      <c r="A40" s="39" t="s">
        <v>42</v>
      </c>
      <c r="B40" s="39">
        <f>B39</f>
        <v>0</v>
      </c>
      <c r="C40" s="323">
        <f>B40+C39</f>
        <v>0</v>
      </c>
      <c r="D40" s="323">
        <f t="shared" ref="D40:V40" si="19">C40+D39</f>
        <v>0</v>
      </c>
      <c r="E40" s="323">
        <f t="shared" si="19"/>
        <v>0</v>
      </c>
      <c r="F40" s="323">
        <f t="shared" si="19"/>
        <v>0</v>
      </c>
      <c r="G40" s="323">
        <f t="shared" si="19"/>
        <v>0</v>
      </c>
      <c r="H40" s="323">
        <f t="shared" si="19"/>
        <v>0</v>
      </c>
      <c r="I40" s="323">
        <f t="shared" si="19"/>
        <v>-682.79229695208937</v>
      </c>
      <c r="J40" s="323">
        <f t="shared" si="19"/>
        <v>354.78423273000703</v>
      </c>
      <c r="K40" s="323">
        <f t="shared" si="19"/>
        <v>354.78423273000703</v>
      </c>
      <c r="L40" s="323">
        <f t="shared" si="19"/>
        <v>-288.6261985446248</v>
      </c>
      <c r="M40" s="323">
        <f t="shared" si="19"/>
        <v>689.10533917662917</v>
      </c>
      <c r="N40" s="323">
        <f t="shared" si="19"/>
        <v>689.10533917662917</v>
      </c>
      <c r="O40" s="323">
        <f t="shared" si="19"/>
        <v>82.805319505997545</v>
      </c>
      <c r="P40" s="323">
        <f t="shared" si="19"/>
        <v>1004.1435846917615</v>
      </c>
      <c r="Q40" s="323">
        <f t="shared" si="19"/>
        <v>1004.1435846917615</v>
      </c>
      <c r="R40" s="323">
        <f t="shared" si="19"/>
        <v>1004.1435846917615</v>
      </c>
      <c r="S40" s="323">
        <f t="shared" si="19"/>
        <v>1004.1435846917615</v>
      </c>
      <c r="T40" s="323">
        <f t="shared" si="19"/>
        <v>1004.1435846917615</v>
      </c>
      <c r="U40" s="323">
        <f t="shared" si="19"/>
        <v>1004.1435846917615</v>
      </c>
      <c r="V40" s="323">
        <f t="shared" si="19"/>
        <v>1004.1435846917615</v>
      </c>
      <c r="W40" s="320" t="s">
        <v>44</v>
      </c>
      <c r="X40" s="75">
        <f>IRR(B38:V38)</f>
        <v>0.54999999999987059</v>
      </c>
    </row>
    <row r="41" spans="1:24" s="37" customFormat="1" ht="12.75" x14ac:dyDescent="0.2">
      <c r="A41" s="322"/>
      <c r="B41" s="69">
        <f t="shared" ref="B41:K41" si="20">IF(AND(B40&lt;0,C40&gt;0),B$3+(-B40/(-B40+C40)),0)</f>
        <v>0</v>
      </c>
      <c r="C41" s="69">
        <f t="shared" si="20"/>
        <v>0</v>
      </c>
      <c r="D41" s="69">
        <f t="shared" si="20"/>
        <v>0</v>
      </c>
      <c r="E41" s="69">
        <f t="shared" si="20"/>
        <v>0</v>
      </c>
      <c r="F41" s="69">
        <f t="shared" si="20"/>
        <v>0</v>
      </c>
      <c r="G41" s="232">
        <f t="shared" si="20"/>
        <v>0</v>
      </c>
      <c r="H41" s="69">
        <f t="shared" si="20"/>
        <v>0</v>
      </c>
      <c r="I41" s="69">
        <f t="shared" si="20"/>
        <v>8.6580645161290324</v>
      </c>
      <c r="J41" s="69">
        <f t="shared" si="20"/>
        <v>0</v>
      </c>
      <c r="K41" s="69">
        <f t="shared" si="20"/>
        <v>0</v>
      </c>
      <c r="L41" s="69">
        <f t="shared" ref="L41:U41" si="21">IF(AND(L40&lt;0,M40&gt;0),L$3+(-L40/(-L40+M40)),0)</f>
        <v>11.29519984516129</v>
      </c>
      <c r="M41" s="69">
        <f t="shared" si="21"/>
        <v>0</v>
      </c>
      <c r="N41" s="69">
        <f t="shared" si="21"/>
        <v>0</v>
      </c>
      <c r="O41" s="69">
        <f t="shared" si="21"/>
        <v>0</v>
      </c>
      <c r="P41" s="69">
        <f t="shared" si="21"/>
        <v>0</v>
      </c>
      <c r="Q41" s="69">
        <f t="shared" si="21"/>
        <v>0</v>
      </c>
      <c r="R41" s="69">
        <f t="shared" si="21"/>
        <v>0</v>
      </c>
      <c r="S41" s="69">
        <f t="shared" si="21"/>
        <v>0</v>
      </c>
      <c r="T41" s="69">
        <f t="shared" si="21"/>
        <v>0</v>
      </c>
      <c r="U41" s="69">
        <f t="shared" si="21"/>
        <v>0</v>
      </c>
      <c r="V41" s="69"/>
      <c r="W41" s="70" t="s">
        <v>49</v>
      </c>
      <c r="X41" s="71">
        <f>MAX(B41:V41)</f>
        <v>11.29519984516129</v>
      </c>
    </row>
    <row r="42" spans="1:24" s="46" customFormat="1" ht="12.75" x14ac:dyDescent="0.2">
      <c r="A42" s="45" t="s">
        <v>313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44"/>
      <c r="M42" s="44"/>
      <c r="N42" s="44"/>
      <c r="O42" s="44"/>
      <c r="P42" s="44"/>
      <c r="Q42" s="231">
        <f>-Q37</f>
        <v>800.00000000000011</v>
      </c>
      <c r="R42" s="44"/>
      <c r="S42" s="44"/>
      <c r="T42" s="44"/>
      <c r="U42" s="44"/>
      <c r="V42" s="44"/>
      <c r="W42" s="73"/>
      <c r="X42" s="74"/>
    </row>
    <row r="44" spans="1:24" s="94" customFormat="1" x14ac:dyDescent="0.25">
      <c r="A44" s="405" t="s">
        <v>406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08"/>
      <c r="X44" s="408"/>
    </row>
    <row r="45" spans="1:24" s="94" customFormat="1" x14ac:dyDescent="0.25">
      <c r="A45" s="405" t="s">
        <v>407</v>
      </c>
      <c r="B45" s="408">
        <v>0</v>
      </c>
      <c r="C45" s="408">
        <f>B45+1</f>
        <v>1</v>
      </c>
      <c r="D45" s="408">
        <f t="shared" ref="D45:W45" si="22">C45+1</f>
        <v>2</v>
      </c>
      <c r="E45" s="408">
        <f t="shared" si="22"/>
        <v>3</v>
      </c>
      <c r="F45" s="408">
        <f t="shared" si="22"/>
        <v>4</v>
      </c>
      <c r="G45" s="408">
        <f t="shared" si="22"/>
        <v>5</v>
      </c>
      <c r="H45" s="408">
        <f t="shared" si="22"/>
        <v>6</v>
      </c>
      <c r="I45" s="408">
        <f t="shared" si="22"/>
        <v>7</v>
      </c>
      <c r="J45" s="408">
        <f t="shared" si="22"/>
        <v>8</v>
      </c>
      <c r="K45" s="408">
        <f t="shared" si="22"/>
        <v>9</v>
      </c>
      <c r="L45" s="408">
        <f t="shared" si="22"/>
        <v>10</v>
      </c>
      <c r="M45" s="408">
        <f t="shared" si="22"/>
        <v>11</v>
      </c>
      <c r="N45" s="408">
        <f t="shared" si="22"/>
        <v>12</v>
      </c>
      <c r="O45" s="408">
        <f t="shared" si="22"/>
        <v>13</v>
      </c>
      <c r="P45" s="408">
        <f t="shared" si="22"/>
        <v>14</v>
      </c>
      <c r="Q45" s="408">
        <f t="shared" si="22"/>
        <v>15</v>
      </c>
      <c r="R45" s="408">
        <f t="shared" si="22"/>
        <v>16</v>
      </c>
      <c r="S45" s="408">
        <f t="shared" si="22"/>
        <v>17</v>
      </c>
      <c r="T45" s="408">
        <f t="shared" si="22"/>
        <v>18</v>
      </c>
      <c r="U45" s="408">
        <f t="shared" si="22"/>
        <v>19</v>
      </c>
      <c r="V45" s="408">
        <f t="shared" si="22"/>
        <v>20</v>
      </c>
      <c r="W45" s="408">
        <f t="shared" si="22"/>
        <v>21</v>
      </c>
      <c r="X45" s="408"/>
    </row>
    <row r="46" spans="1:24" s="94" customFormat="1" x14ac:dyDescent="0.25">
      <c r="A46" s="405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08"/>
      <c r="X46" s="408"/>
    </row>
    <row r="47" spans="1:24" s="410" customFormat="1" ht="12" x14ac:dyDescent="0.2">
      <c r="A47" s="410" t="s">
        <v>408</v>
      </c>
      <c r="B47" s="413">
        <f>B28+B29</f>
        <v>0</v>
      </c>
      <c r="C47" s="413">
        <f t="shared" ref="C47:W47" si="23">C28+C29</f>
        <v>0</v>
      </c>
      <c r="D47" s="413">
        <f t="shared" si="23"/>
        <v>0</v>
      </c>
      <c r="E47" s="413">
        <f t="shared" si="23"/>
        <v>0</v>
      </c>
      <c r="F47" s="413">
        <f t="shared" si="23"/>
        <v>0</v>
      </c>
      <c r="G47" s="413">
        <f t="shared" si="23"/>
        <v>0</v>
      </c>
      <c r="H47" s="413">
        <f t="shared" si="23"/>
        <v>0</v>
      </c>
      <c r="I47" s="413">
        <f t="shared" si="23"/>
        <v>800.00000000000011</v>
      </c>
      <c r="J47" s="413">
        <f t="shared" si="23"/>
        <v>800.00000000000011</v>
      </c>
      <c r="K47" s="413">
        <f t="shared" si="23"/>
        <v>0</v>
      </c>
      <c r="L47" s="413">
        <f t="shared" si="23"/>
        <v>800.00000000000011</v>
      </c>
      <c r="M47" s="413">
        <f t="shared" si="23"/>
        <v>800.00000000000011</v>
      </c>
      <c r="N47" s="413">
        <f t="shared" si="23"/>
        <v>0</v>
      </c>
      <c r="O47" s="413">
        <f t="shared" si="23"/>
        <v>800.00000000000011</v>
      </c>
      <c r="P47" s="413">
        <f t="shared" si="23"/>
        <v>800.00000000000011</v>
      </c>
      <c r="Q47" s="413">
        <f t="shared" si="23"/>
        <v>0</v>
      </c>
      <c r="R47" s="413">
        <f t="shared" si="23"/>
        <v>800.00000000000011</v>
      </c>
      <c r="S47" s="413">
        <f t="shared" si="23"/>
        <v>800.00000000000011</v>
      </c>
      <c r="T47" s="413">
        <f t="shared" si="23"/>
        <v>0</v>
      </c>
      <c r="U47" s="413">
        <f t="shared" si="23"/>
        <v>0</v>
      </c>
      <c r="V47" s="413">
        <f t="shared" si="23"/>
        <v>0</v>
      </c>
      <c r="W47" s="413">
        <f t="shared" si="23"/>
        <v>6400.0000000000009</v>
      </c>
      <c r="X47" s="413">
        <f>SUM(B47:W47)</f>
        <v>12800.000000000002</v>
      </c>
    </row>
    <row r="48" spans="1:24" s="410" customFormat="1" ht="12" x14ac:dyDescent="0.2">
      <c r="A48" s="410" t="s">
        <v>409</v>
      </c>
      <c r="C48" s="413">
        <f>B30</f>
        <v>0</v>
      </c>
      <c r="D48" s="413">
        <f t="shared" ref="D48:V48" si="24">C30</f>
        <v>0</v>
      </c>
      <c r="E48" s="413">
        <f t="shared" si="24"/>
        <v>0</v>
      </c>
      <c r="F48" s="413">
        <f t="shared" si="24"/>
        <v>0</v>
      </c>
      <c r="G48" s="413">
        <f t="shared" si="24"/>
        <v>0</v>
      </c>
      <c r="H48" s="413">
        <f t="shared" si="24"/>
        <v>0</v>
      </c>
      <c r="I48" s="413">
        <f t="shared" si="24"/>
        <v>0</v>
      </c>
      <c r="J48" s="413">
        <f t="shared" si="24"/>
        <v>0</v>
      </c>
      <c r="K48" s="413">
        <f t="shared" si="24"/>
        <v>2040</v>
      </c>
      <c r="L48" s="413">
        <f t="shared" si="24"/>
        <v>0</v>
      </c>
      <c r="M48" s="413">
        <f t="shared" si="24"/>
        <v>0</v>
      </c>
      <c r="N48" s="413">
        <f t="shared" si="24"/>
        <v>2040</v>
      </c>
      <c r="O48" s="413">
        <f t="shared" si="24"/>
        <v>0</v>
      </c>
      <c r="P48" s="413">
        <f t="shared" si="24"/>
        <v>0</v>
      </c>
      <c r="Q48" s="413">
        <f t="shared" si="24"/>
        <v>2040</v>
      </c>
      <c r="R48" s="413">
        <f t="shared" si="24"/>
        <v>0</v>
      </c>
      <c r="S48" s="413">
        <f t="shared" si="24"/>
        <v>0</v>
      </c>
      <c r="T48" s="413">
        <f t="shared" si="24"/>
        <v>2040</v>
      </c>
      <c r="U48" s="413">
        <f t="shared" si="24"/>
        <v>0</v>
      </c>
      <c r="V48" s="413">
        <f t="shared" si="24"/>
        <v>0</v>
      </c>
      <c r="W48" s="413">
        <f>V30</f>
        <v>0</v>
      </c>
      <c r="X48" s="413">
        <f>SUM(B48:W48)</f>
        <v>8160</v>
      </c>
    </row>
    <row r="49" spans="1:24" s="410" customFormat="1" ht="12" x14ac:dyDescent="0.2">
      <c r="A49" s="410" t="s">
        <v>410</v>
      </c>
      <c r="B49" s="413">
        <f>B48-B47</f>
        <v>0</v>
      </c>
      <c r="C49" s="413">
        <f t="shared" ref="C49:V49" si="25">C48-C47</f>
        <v>0</v>
      </c>
      <c r="D49" s="413">
        <f t="shared" si="25"/>
        <v>0</v>
      </c>
      <c r="E49" s="413">
        <f t="shared" si="25"/>
        <v>0</v>
      </c>
      <c r="F49" s="413">
        <f t="shared" si="25"/>
        <v>0</v>
      </c>
      <c r="G49" s="413">
        <f t="shared" si="25"/>
        <v>0</v>
      </c>
      <c r="H49" s="413">
        <f t="shared" si="25"/>
        <v>0</v>
      </c>
      <c r="I49" s="413">
        <f t="shared" si="25"/>
        <v>-800.00000000000011</v>
      </c>
      <c r="J49" s="413">
        <f t="shared" si="25"/>
        <v>-800.00000000000011</v>
      </c>
      <c r="K49" s="413">
        <f t="shared" si="25"/>
        <v>2040</v>
      </c>
      <c r="L49" s="413">
        <f t="shared" si="25"/>
        <v>-800.00000000000011</v>
      </c>
      <c r="M49" s="413">
        <f t="shared" si="25"/>
        <v>-800.00000000000011</v>
      </c>
      <c r="N49" s="413">
        <f t="shared" si="25"/>
        <v>2040</v>
      </c>
      <c r="O49" s="413">
        <f t="shared" si="25"/>
        <v>-800.00000000000011</v>
      </c>
      <c r="P49" s="413">
        <f t="shared" si="25"/>
        <v>-800.00000000000011</v>
      </c>
      <c r="Q49" s="413">
        <f t="shared" si="25"/>
        <v>2040</v>
      </c>
      <c r="R49" s="413">
        <f t="shared" si="25"/>
        <v>-800.00000000000011</v>
      </c>
      <c r="S49" s="413">
        <f t="shared" si="25"/>
        <v>-800.00000000000011</v>
      </c>
      <c r="T49" s="413">
        <f t="shared" si="25"/>
        <v>2040</v>
      </c>
      <c r="U49" s="413">
        <f t="shared" si="25"/>
        <v>0</v>
      </c>
      <c r="V49" s="413">
        <f t="shared" si="25"/>
        <v>0</v>
      </c>
      <c r="W49" s="413">
        <v>0</v>
      </c>
      <c r="X49" s="413">
        <f>SUM(B49:W49)</f>
        <v>1759.9999999999991</v>
      </c>
    </row>
    <row r="50" spans="1:24" s="410" customFormat="1" ht="12" x14ac:dyDescent="0.2">
      <c r="A50" s="410" t="s">
        <v>41</v>
      </c>
      <c r="B50" s="413">
        <f>B49</f>
        <v>0</v>
      </c>
      <c r="C50" s="413">
        <f>B50+C49</f>
        <v>0</v>
      </c>
      <c r="D50" s="413">
        <f t="shared" ref="D50:W50" si="26">C50+D49</f>
        <v>0</v>
      </c>
      <c r="E50" s="413">
        <f t="shared" si="26"/>
        <v>0</v>
      </c>
      <c r="F50" s="413">
        <f t="shared" si="26"/>
        <v>0</v>
      </c>
      <c r="G50" s="413">
        <f t="shared" si="26"/>
        <v>0</v>
      </c>
      <c r="H50" s="413">
        <f t="shared" si="26"/>
        <v>0</v>
      </c>
      <c r="I50" s="413">
        <f t="shared" si="26"/>
        <v>-800.00000000000011</v>
      </c>
      <c r="J50" s="413">
        <f t="shared" si="26"/>
        <v>-1600.0000000000002</v>
      </c>
      <c r="K50" s="413">
        <f t="shared" si="26"/>
        <v>439.99999999999977</v>
      </c>
      <c r="L50" s="413">
        <f t="shared" si="26"/>
        <v>-360.00000000000034</v>
      </c>
      <c r="M50" s="413">
        <f t="shared" si="26"/>
        <v>-1160.0000000000005</v>
      </c>
      <c r="N50" s="413">
        <f t="shared" si="26"/>
        <v>879.99999999999955</v>
      </c>
      <c r="O50" s="413">
        <f t="shared" si="26"/>
        <v>79.999999999999432</v>
      </c>
      <c r="P50" s="413">
        <f t="shared" si="26"/>
        <v>-720.00000000000068</v>
      </c>
      <c r="Q50" s="413">
        <f t="shared" si="26"/>
        <v>1319.9999999999993</v>
      </c>
      <c r="R50" s="413">
        <f t="shared" si="26"/>
        <v>519.9999999999992</v>
      </c>
      <c r="S50" s="413">
        <f t="shared" si="26"/>
        <v>-280.00000000000091</v>
      </c>
      <c r="T50" s="413">
        <f t="shared" si="26"/>
        <v>1759.9999999999991</v>
      </c>
      <c r="U50" s="413">
        <f t="shared" si="26"/>
        <v>1759.9999999999991</v>
      </c>
      <c r="V50" s="413">
        <f t="shared" si="26"/>
        <v>1759.9999999999991</v>
      </c>
      <c r="W50" s="413">
        <f t="shared" si="26"/>
        <v>1759.9999999999991</v>
      </c>
      <c r="X50" s="429">
        <f>MIN(J50:W50)</f>
        <v>-1600.0000000000002</v>
      </c>
    </row>
    <row r="51" spans="1:24" s="415" customFormat="1" ht="12" x14ac:dyDescent="0.2">
      <c r="B51" s="415">
        <f>IF($C$52=B50,B$3,0)</f>
        <v>0</v>
      </c>
      <c r="C51" s="415">
        <f t="shared" ref="C51:W51" si="27">IF($C$52=C50,C$3,0)</f>
        <v>0</v>
      </c>
      <c r="D51" s="415">
        <f t="shared" si="27"/>
        <v>0</v>
      </c>
      <c r="E51" s="415">
        <f t="shared" si="27"/>
        <v>0</v>
      </c>
      <c r="F51" s="415">
        <f t="shared" si="27"/>
        <v>0</v>
      </c>
      <c r="G51" s="415">
        <f t="shared" si="27"/>
        <v>0</v>
      </c>
      <c r="H51" s="415">
        <f t="shared" si="27"/>
        <v>0</v>
      </c>
      <c r="I51" s="415">
        <f t="shared" si="27"/>
        <v>0</v>
      </c>
      <c r="J51" s="415">
        <f t="shared" si="27"/>
        <v>9</v>
      </c>
      <c r="K51" s="415">
        <f t="shared" si="27"/>
        <v>0</v>
      </c>
      <c r="L51" s="415">
        <f t="shared" si="27"/>
        <v>0</v>
      </c>
      <c r="M51" s="415">
        <f t="shared" si="27"/>
        <v>0</v>
      </c>
      <c r="N51" s="415">
        <f t="shared" si="27"/>
        <v>0</v>
      </c>
      <c r="O51" s="415">
        <f t="shared" si="27"/>
        <v>0</v>
      </c>
      <c r="P51" s="415">
        <f t="shared" si="27"/>
        <v>0</v>
      </c>
      <c r="Q51" s="415">
        <f t="shared" si="27"/>
        <v>0</v>
      </c>
      <c r="R51" s="415">
        <f t="shared" si="27"/>
        <v>0</v>
      </c>
      <c r="S51" s="415">
        <f t="shared" si="27"/>
        <v>0</v>
      </c>
      <c r="T51" s="415">
        <f t="shared" si="27"/>
        <v>0</v>
      </c>
      <c r="U51" s="415">
        <f t="shared" si="27"/>
        <v>0</v>
      </c>
      <c r="V51" s="415">
        <f t="shared" si="27"/>
        <v>0</v>
      </c>
      <c r="W51" s="415">
        <f t="shared" si="27"/>
        <v>0</v>
      </c>
    </row>
    <row r="52" spans="1:24" s="410" customFormat="1" ht="12" x14ac:dyDescent="0.2">
      <c r="A52" s="410" t="s">
        <v>411</v>
      </c>
      <c r="C52" s="413">
        <f>MIN(B50:W50)</f>
        <v>-1600.0000000000002</v>
      </c>
      <c r="E52" s="410" t="s">
        <v>413</v>
      </c>
      <c r="G52" s="410">
        <f>MAX(B51:W51)</f>
        <v>9</v>
      </c>
      <c r="H52" s="410" t="s">
        <v>431</v>
      </c>
    </row>
    <row r="53" spans="1:24" s="410" customFormat="1" ht="12" x14ac:dyDescent="0.2">
      <c r="A53" s="410" t="s">
        <v>412</v>
      </c>
      <c r="C53" s="410">
        <f>-C52*1.2</f>
        <v>1920.0000000000002</v>
      </c>
      <c r="E53" s="410" t="s">
        <v>415</v>
      </c>
    </row>
  </sheetData>
  <pageMargins left="0.70866141732283472" right="0.70866141732283472" top="0.74803149606299213" bottom="0.74803149606299213" header="0.31496062992125984" footer="0.31496062992125984"/>
  <pageSetup paperSize="9" scale="79" fitToHeight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workbookViewId="0">
      <pane xSplit="1" ySplit="3" topLeftCell="H8" activePane="bottomRight" state="frozen"/>
      <selection pane="topRight" activeCell="B1" sqref="B1"/>
      <selection pane="bottomLeft" activeCell="A4" sqref="A4"/>
      <selection pane="bottomRight" activeCell="T15" sqref="T15"/>
    </sheetView>
  </sheetViews>
  <sheetFormatPr defaultRowHeight="15" x14ac:dyDescent="0.25"/>
  <cols>
    <col min="1" max="1" width="27.140625" customWidth="1"/>
    <col min="2" max="21" width="6.85546875" style="21" customWidth="1"/>
    <col min="22" max="22" width="7.7109375" style="21" customWidth="1"/>
    <col min="23" max="23" width="12.28515625" style="21" customWidth="1"/>
    <col min="24" max="24" width="11.5703125" style="21" customWidth="1"/>
  </cols>
  <sheetData>
    <row r="1" spans="1:24" x14ac:dyDescent="0.25">
      <c r="A1" s="47" t="s">
        <v>257</v>
      </c>
      <c r="W1" s="65" t="s">
        <v>38</v>
      </c>
      <c r="X1" s="66">
        <v>0.02</v>
      </c>
    </row>
    <row r="2" spans="1:24" x14ac:dyDescent="0.25">
      <c r="A2" s="38"/>
      <c r="B2" s="39">
        <v>1</v>
      </c>
      <c r="C2" s="39">
        <f>B2+1</f>
        <v>2</v>
      </c>
      <c r="D2" s="39">
        <f t="shared" ref="D2:Q2" si="0">C2+1</f>
        <v>3</v>
      </c>
      <c r="E2" s="39">
        <f t="shared" si="0"/>
        <v>4</v>
      </c>
      <c r="F2" s="39">
        <f t="shared" si="0"/>
        <v>5</v>
      </c>
      <c r="G2" s="39">
        <f t="shared" si="0"/>
        <v>6</v>
      </c>
      <c r="H2" s="39">
        <f t="shared" si="0"/>
        <v>7</v>
      </c>
      <c r="I2" s="39">
        <f t="shared" si="0"/>
        <v>8</v>
      </c>
      <c r="J2" s="39">
        <f t="shared" si="0"/>
        <v>9</v>
      </c>
      <c r="K2" s="39">
        <f t="shared" si="0"/>
        <v>10</v>
      </c>
      <c r="L2" s="39">
        <f t="shared" si="0"/>
        <v>11</v>
      </c>
      <c r="M2" s="39">
        <f t="shared" si="0"/>
        <v>12</v>
      </c>
      <c r="N2" s="39">
        <f t="shared" si="0"/>
        <v>13</v>
      </c>
      <c r="O2" s="39">
        <f t="shared" si="0"/>
        <v>14</v>
      </c>
      <c r="P2" s="39">
        <f t="shared" si="0"/>
        <v>15</v>
      </c>
      <c r="Q2" s="39">
        <f t="shared" si="0"/>
        <v>16</v>
      </c>
      <c r="R2" s="39">
        <f>Q2+1</f>
        <v>17</v>
      </c>
      <c r="S2" s="39">
        <f>R2+1</f>
        <v>18</v>
      </c>
      <c r="T2" s="39">
        <f>S2+1</f>
        <v>19</v>
      </c>
      <c r="U2" s="39">
        <f>T2+1</f>
        <v>20</v>
      </c>
      <c r="V2" s="39">
        <f>U2+1</f>
        <v>21</v>
      </c>
      <c r="W2" s="39" t="s">
        <v>39</v>
      </c>
      <c r="X2" s="39" t="s">
        <v>40</v>
      </c>
    </row>
    <row r="3" spans="1:24" s="225" customFormat="1" x14ac:dyDescent="0.25">
      <c r="A3" s="226" t="s">
        <v>315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</row>
    <row r="4" spans="1:24" s="202" customFormat="1" ht="31.5" x14ac:dyDescent="0.25">
      <c r="A4" s="234" t="s">
        <v>76</v>
      </c>
      <c r="B4" s="241">
        <f>ИсхТовар!$B$12/1000</f>
        <v>59.5</v>
      </c>
      <c r="C4" s="241">
        <f>ИсхТовар!$B$12/1000</f>
        <v>59.5</v>
      </c>
      <c r="D4" s="241">
        <f>ИсхТовар!$B$12/1000</f>
        <v>59.5</v>
      </c>
      <c r="E4" s="241">
        <f>ИсхТовар!$B$12/1000</f>
        <v>59.5</v>
      </c>
      <c r="F4" s="241">
        <f>ИсхТовар!$B$12/1000</f>
        <v>59.5</v>
      </c>
      <c r="G4" s="241">
        <f>ИсхТовар!$B$12/1000</f>
        <v>59.5</v>
      </c>
      <c r="H4" s="241">
        <f>ИсхТовар!$B$12/1000</f>
        <v>59.5</v>
      </c>
      <c r="I4" s="241">
        <f>ИсхТовар!$B$12/1000</f>
        <v>59.5</v>
      </c>
      <c r="J4" s="241">
        <f>ИсхТовар!$B$12/1000</f>
        <v>59.5</v>
      </c>
      <c r="K4" s="241">
        <f>ИсхТовар!$B$12/1000</f>
        <v>59.5</v>
      </c>
      <c r="L4" s="241">
        <f>ИсхТовар!$B$12/1000</f>
        <v>59.5</v>
      </c>
      <c r="M4" s="241">
        <f>ИсхТовар!$B$12/1000</f>
        <v>59.5</v>
      </c>
      <c r="N4" s="241">
        <f>ИсхТовар!$B$12/1000</f>
        <v>59.5</v>
      </c>
      <c r="O4" s="241">
        <f>ИсхТовар!$B$12/1000</f>
        <v>59.5</v>
      </c>
      <c r="P4" s="241">
        <f>ИсхТовар!$B$12/1000</f>
        <v>59.5</v>
      </c>
      <c r="Q4" s="241">
        <f>ИсхТовар!$B$12/1000</f>
        <v>59.5</v>
      </c>
      <c r="R4" s="241">
        <f>ИсхТовар!$B$12/1000</f>
        <v>59.5</v>
      </c>
      <c r="S4" s="241">
        <f>ИсхТовар!$B$12/1000</f>
        <v>59.5</v>
      </c>
      <c r="T4" s="239">
        <f>ИсхТовар!$B$13/1000</f>
        <v>8.5</v>
      </c>
      <c r="U4" s="239">
        <f>ИсхТовар!$B$13/1000</f>
        <v>8.5</v>
      </c>
      <c r="V4" s="239">
        <f>ИсхТовар!$B$13/1000</f>
        <v>8.5</v>
      </c>
      <c r="W4" s="39">
        <f>SUM(B4:V4)</f>
        <v>1096.5</v>
      </c>
      <c r="X4" s="41">
        <f>NPV($X$1,B4:V4)</f>
        <v>909.18887170930338</v>
      </c>
    </row>
    <row r="5" spans="1:24" s="202" customFormat="1" ht="31.5" x14ac:dyDescent="0.25">
      <c r="A5" s="235" t="s">
        <v>77</v>
      </c>
      <c r="B5" s="241">
        <f>ИсхТовар!$F$3/1000-'3товар'!B4</f>
        <v>875.5</v>
      </c>
      <c r="C5" s="241">
        <f>ИсхТовар!$F$3/1000-'3товар'!C4</f>
        <v>875.5</v>
      </c>
      <c r="D5" s="241">
        <f>ИсхТовар!$F$3/1000-'3товар'!D4</f>
        <v>875.5</v>
      </c>
      <c r="E5" s="241">
        <f>ИсхТовар!$F$3/1000-'3товар'!E4</f>
        <v>875.5</v>
      </c>
      <c r="F5" s="241">
        <f>ИсхТовар!$F$3/1000-'3товар'!F4</f>
        <v>875.5</v>
      </c>
      <c r="G5" s="241">
        <f>ИсхТовар!$F$3/1000-'3товар'!G4</f>
        <v>875.5</v>
      </c>
      <c r="H5" s="241">
        <f>ИсхТовар!$F$3/1000-'3товар'!H4</f>
        <v>875.5</v>
      </c>
      <c r="I5" s="241">
        <f>ИсхТовар!$F$3/1000-'3товар'!I4</f>
        <v>875.5</v>
      </c>
      <c r="J5" s="241">
        <f>ИсхТовар!$F$3/1000-'3товар'!J4</f>
        <v>875.5</v>
      </c>
      <c r="K5" s="241">
        <f>ИсхТовар!$F$3/1000-'3товар'!K4</f>
        <v>875.5</v>
      </c>
      <c r="L5" s="241">
        <f>ИсхТовар!$F$3/1000-'3товар'!L4</f>
        <v>875.5</v>
      </c>
      <c r="M5" s="241">
        <f>ИсхТовар!$F$3/1000-'3товар'!M4</f>
        <v>875.5</v>
      </c>
      <c r="N5" s="241">
        <f>ИсхТовар!$F$3/1000-'3товар'!N4</f>
        <v>875.5</v>
      </c>
      <c r="O5" s="241">
        <f>ИсхТовар!$F$3/1000-'3товар'!O4</f>
        <v>875.5</v>
      </c>
      <c r="P5" s="241">
        <f>ИсхТовар!$F$3/1000-'3товар'!P4</f>
        <v>875.5</v>
      </c>
      <c r="Q5" s="241">
        <f>ИсхТовар!$F$3/1000-'3товар'!Q4</f>
        <v>875.5</v>
      </c>
      <c r="R5" s="241">
        <f>ИсхТовар!$F$3/1000-'3товар'!R4</f>
        <v>875.5</v>
      </c>
      <c r="S5" s="241">
        <f>ИсхТовар!$F$3/1000-'3товар'!S4</f>
        <v>875.5</v>
      </c>
      <c r="T5" s="241">
        <f>ИсхТовар!$F$4/1000-'3товар'!T4</f>
        <v>875.5</v>
      </c>
      <c r="U5" s="241">
        <f>ИсхТовар!$F$4/1000-'3товар'!U4</f>
        <v>875.5</v>
      </c>
      <c r="V5" s="241">
        <f>ИсхТовар!$F$4/1000-'3товар'!V4</f>
        <v>875.5</v>
      </c>
      <c r="W5" s="39">
        <f>SUM(B5:V5)</f>
        <v>18385.5</v>
      </c>
      <c r="X5" s="41">
        <f>NPV($X$1,B5:V5)</f>
        <v>14893.313620779187</v>
      </c>
    </row>
    <row r="6" spans="1:24" s="202" customFormat="1" ht="31.5" x14ac:dyDescent="0.25">
      <c r="A6" s="234" t="s">
        <v>78</v>
      </c>
      <c r="B6" s="242">
        <f>ИсхТовар!$H$3/1000</f>
        <v>2805</v>
      </c>
      <c r="C6" s="242">
        <f>ИсхТовар!$H$3/1000</f>
        <v>2805</v>
      </c>
      <c r="D6" s="242">
        <f>ИсхТовар!$H$3/1000</f>
        <v>2805</v>
      </c>
      <c r="E6" s="242">
        <f>ИсхТовар!$H$3/1000</f>
        <v>2805</v>
      </c>
      <c r="F6" s="242">
        <f>ИсхТовар!$H$3/1000</f>
        <v>2805</v>
      </c>
      <c r="G6" s="242">
        <f>ИсхТовар!$H$3/1000</f>
        <v>2805</v>
      </c>
      <c r="H6" s="242">
        <f>ИсхТовар!$H$3/1000</f>
        <v>2805</v>
      </c>
      <c r="I6" s="242">
        <f>ИсхТовар!$H$3/1000</f>
        <v>2805</v>
      </c>
      <c r="J6" s="242">
        <f>ИсхТовар!$H$3/1000</f>
        <v>2805</v>
      </c>
      <c r="K6" s="242">
        <f>ИсхТовар!$H$3/1000</f>
        <v>2805</v>
      </c>
      <c r="L6" s="242">
        <f>ИсхТовар!$H$3/1000</f>
        <v>2805</v>
      </c>
      <c r="M6" s="242">
        <f>ИсхТовар!$H$3/1000</f>
        <v>2805</v>
      </c>
      <c r="N6" s="242">
        <f>ИсхТовар!$H$3/1000</f>
        <v>2805</v>
      </c>
      <c r="O6" s="242">
        <f>ИсхТовар!$H$3/1000</f>
        <v>2805</v>
      </c>
      <c r="P6" s="242">
        <f>ИсхТовар!$H$3/1000</f>
        <v>2805</v>
      </c>
      <c r="Q6" s="242">
        <f>ИсхТовар!$H$3/1000</f>
        <v>2805</v>
      </c>
      <c r="R6" s="242">
        <f>ИсхТовар!$H$3/1000</f>
        <v>2805</v>
      </c>
      <c r="S6" s="242">
        <f>ИсхТовар!$H$3/1000</f>
        <v>2805</v>
      </c>
      <c r="T6" s="242">
        <f>ИсхТовар!$H$3/1000</f>
        <v>2805</v>
      </c>
      <c r="U6" s="242">
        <f>ИсхТовар!$H$3/1000</f>
        <v>2805</v>
      </c>
      <c r="V6" s="242">
        <f>ИсхТовар!$H$3/1000</f>
        <v>2805</v>
      </c>
      <c r="W6" s="39">
        <f>SUM(B6:V6)</f>
        <v>58905</v>
      </c>
      <c r="X6" s="41">
        <f>NPV($X$1,B6:V6)</f>
        <v>47716.441697642047</v>
      </c>
    </row>
    <row r="7" spans="1:24" s="202" customFormat="1" ht="47.25" x14ac:dyDescent="0.25">
      <c r="A7" s="234" t="s">
        <v>80</v>
      </c>
      <c r="B7" s="242">
        <f>B6-B4-B5</f>
        <v>1870</v>
      </c>
      <c r="C7" s="242">
        <f t="shared" ref="C7:V7" si="1">C6-C4-C5</f>
        <v>1870</v>
      </c>
      <c r="D7" s="242">
        <f t="shared" si="1"/>
        <v>1870</v>
      </c>
      <c r="E7" s="242">
        <f t="shared" si="1"/>
        <v>1870</v>
      </c>
      <c r="F7" s="242">
        <f t="shared" si="1"/>
        <v>1870</v>
      </c>
      <c r="G7" s="242">
        <f t="shared" si="1"/>
        <v>1870</v>
      </c>
      <c r="H7" s="242">
        <f t="shared" si="1"/>
        <v>1870</v>
      </c>
      <c r="I7" s="242">
        <f t="shared" si="1"/>
        <v>1870</v>
      </c>
      <c r="J7" s="242">
        <f t="shared" si="1"/>
        <v>1870</v>
      </c>
      <c r="K7" s="242">
        <f t="shared" si="1"/>
        <v>1870</v>
      </c>
      <c r="L7" s="242">
        <f t="shared" si="1"/>
        <v>1870</v>
      </c>
      <c r="M7" s="242">
        <f t="shared" si="1"/>
        <v>1870</v>
      </c>
      <c r="N7" s="242">
        <f t="shared" si="1"/>
        <v>1870</v>
      </c>
      <c r="O7" s="242">
        <f t="shared" si="1"/>
        <v>1870</v>
      </c>
      <c r="P7" s="242">
        <f t="shared" si="1"/>
        <v>1870</v>
      </c>
      <c r="Q7" s="242">
        <f t="shared" si="1"/>
        <v>1870</v>
      </c>
      <c r="R7" s="242">
        <f t="shared" si="1"/>
        <v>1870</v>
      </c>
      <c r="S7" s="242">
        <f t="shared" si="1"/>
        <v>1870</v>
      </c>
      <c r="T7" s="242">
        <f t="shared" si="1"/>
        <v>1921</v>
      </c>
      <c r="U7" s="242">
        <f t="shared" si="1"/>
        <v>1921</v>
      </c>
      <c r="V7" s="242">
        <f t="shared" si="1"/>
        <v>1921</v>
      </c>
      <c r="W7" s="39">
        <f>SUM(B7:V7)</f>
        <v>39423</v>
      </c>
      <c r="X7" s="324">
        <f>NPV($X$1,B7:V7)</f>
        <v>31913.939205153569</v>
      </c>
    </row>
    <row r="8" spans="1:24" s="202" customFormat="1" ht="63" x14ac:dyDescent="0.25">
      <c r="A8" s="234" t="s">
        <v>79</v>
      </c>
      <c r="B8" s="325">
        <f>B7/(B5+B4)</f>
        <v>2</v>
      </c>
      <c r="C8" s="39">
        <f t="shared" ref="C8:V8" si="2">C7/(C5+C4)</f>
        <v>2</v>
      </c>
      <c r="D8" s="39">
        <f t="shared" si="2"/>
        <v>2</v>
      </c>
      <c r="E8" s="39">
        <f t="shared" si="2"/>
        <v>2</v>
      </c>
      <c r="F8" s="39">
        <f t="shared" si="2"/>
        <v>2</v>
      </c>
      <c r="G8" s="39">
        <f t="shared" si="2"/>
        <v>2</v>
      </c>
      <c r="H8" s="39">
        <f t="shared" si="2"/>
        <v>2</v>
      </c>
      <c r="I8" s="39">
        <f t="shared" si="2"/>
        <v>2</v>
      </c>
      <c r="J8" s="39">
        <f t="shared" si="2"/>
        <v>2</v>
      </c>
      <c r="K8" s="39">
        <f t="shared" si="2"/>
        <v>2</v>
      </c>
      <c r="L8" s="39">
        <f t="shared" si="2"/>
        <v>2</v>
      </c>
      <c r="M8" s="39">
        <f t="shared" si="2"/>
        <v>2</v>
      </c>
      <c r="N8" s="39">
        <f t="shared" si="2"/>
        <v>2</v>
      </c>
      <c r="O8" s="39">
        <f t="shared" si="2"/>
        <v>2</v>
      </c>
      <c r="P8" s="39">
        <f t="shared" si="2"/>
        <v>2</v>
      </c>
      <c r="Q8" s="39">
        <f t="shared" si="2"/>
        <v>2</v>
      </c>
      <c r="R8" s="39">
        <f t="shared" si="2"/>
        <v>2</v>
      </c>
      <c r="S8" s="39">
        <f t="shared" si="2"/>
        <v>2</v>
      </c>
      <c r="T8" s="39">
        <f t="shared" si="2"/>
        <v>2.1730769230769229</v>
      </c>
      <c r="U8" s="39">
        <f t="shared" si="2"/>
        <v>2.1730769230769229</v>
      </c>
      <c r="V8" s="39">
        <f t="shared" si="2"/>
        <v>2.1730769230769229</v>
      </c>
      <c r="W8" s="39" t="s">
        <v>82</v>
      </c>
      <c r="X8" s="41" t="s">
        <v>82</v>
      </c>
    </row>
    <row r="9" spans="1:24" s="202" customFormat="1" ht="15.75" x14ac:dyDescent="0.25">
      <c r="A9" s="234" t="s">
        <v>41</v>
      </c>
      <c r="B9" s="218">
        <f>B7</f>
        <v>1870</v>
      </c>
      <c r="C9" s="218">
        <f>B9+C7</f>
        <v>3740</v>
      </c>
      <c r="D9" s="218">
        <f t="shared" ref="D9:Q9" si="3">C9+D7</f>
        <v>5610</v>
      </c>
      <c r="E9" s="218">
        <f t="shared" si="3"/>
        <v>7480</v>
      </c>
      <c r="F9" s="218">
        <f t="shared" si="3"/>
        <v>9350</v>
      </c>
      <c r="G9" s="218">
        <f t="shared" si="3"/>
        <v>11220</v>
      </c>
      <c r="H9" s="218">
        <f t="shared" si="3"/>
        <v>13090</v>
      </c>
      <c r="I9" s="218">
        <f t="shared" si="3"/>
        <v>14960</v>
      </c>
      <c r="J9" s="218">
        <f t="shared" si="3"/>
        <v>16830</v>
      </c>
      <c r="K9" s="218">
        <f t="shared" si="3"/>
        <v>18700</v>
      </c>
      <c r="L9" s="218">
        <f t="shared" si="3"/>
        <v>20570</v>
      </c>
      <c r="M9" s="218">
        <f t="shared" si="3"/>
        <v>22440</v>
      </c>
      <c r="N9" s="218">
        <f t="shared" si="3"/>
        <v>24310</v>
      </c>
      <c r="O9" s="218">
        <f t="shared" si="3"/>
        <v>26180</v>
      </c>
      <c r="P9" s="218">
        <f t="shared" si="3"/>
        <v>28050</v>
      </c>
      <c r="Q9" s="218">
        <f t="shared" si="3"/>
        <v>29920</v>
      </c>
      <c r="R9" s="218">
        <f>Q9+R7</f>
        <v>31790</v>
      </c>
      <c r="S9" s="218">
        <f>R9+S7</f>
        <v>33660</v>
      </c>
      <c r="T9" s="218">
        <f>S9+T7</f>
        <v>35581</v>
      </c>
      <c r="U9" s="218">
        <f>T9+U7</f>
        <v>37502</v>
      </c>
      <c r="V9" s="218">
        <f>U9+V7</f>
        <v>39423</v>
      </c>
      <c r="W9" s="326" t="s">
        <v>43</v>
      </c>
      <c r="X9" s="319">
        <f>-MIN(B9:V9)</f>
        <v>-1870</v>
      </c>
    </row>
    <row r="10" spans="1:24" s="202" customFormat="1" ht="31.5" x14ac:dyDescent="0.25">
      <c r="A10" s="234" t="s">
        <v>50</v>
      </c>
      <c r="B10" s="218">
        <f t="shared" ref="B10:V10" si="4">B7/(1+$X$1)^B$2</f>
        <v>1833.3333333333333</v>
      </c>
      <c r="C10" s="218">
        <f t="shared" si="4"/>
        <v>1797.3856209150326</v>
      </c>
      <c r="D10" s="218">
        <f t="shared" si="4"/>
        <v>1762.1427656029734</v>
      </c>
      <c r="E10" s="218">
        <f t="shared" si="4"/>
        <v>1727.5909466695816</v>
      </c>
      <c r="F10" s="218">
        <f t="shared" si="4"/>
        <v>1693.7166143819427</v>
      </c>
      <c r="G10" s="218">
        <f t="shared" si="4"/>
        <v>1660.5064846881789</v>
      </c>
      <c r="H10" s="218">
        <f t="shared" si="4"/>
        <v>1627.9475340080189</v>
      </c>
      <c r="I10" s="218">
        <f t="shared" si="4"/>
        <v>1596.0269941255087</v>
      </c>
      <c r="J10" s="218">
        <f t="shared" si="4"/>
        <v>1564.7323471818713</v>
      </c>
      <c r="K10" s="218">
        <f t="shared" si="4"/>
        <v>1534.0513207665404</v>
      </c>
      <c r="L10" s="218">
        <f t="shared" si="4"/>
        <v>1503.9718831044518</v>
      </c>
      <c r="M10" s="218">
        <f t="shared" si="4"/>
        <v>1474.4822383376975</v>
      </c>
      <c r="N10" s="218">
        <f t="shared" si="4"/>
        <v>1445.5708218997036</v>
      </c>
      <c r="O10" s="218">
        <f t="shared" si="4"/>
        <v>1417.2262959801012</v>
      </c>
      <c r="P10" s="218">
        <f t="shared" si="4"/>
        <v>1389.437545078531</v>
      </c>
      <c r="Q10" s="218">
        <f t="shared" si="4"/>
        <v>1362.1936716456185</v>
      </c>
      <c r="R10" s="218">
        <f t="shared" si="4"/>
        <v>1335.4839918094297</v>
      </c>
      <c r="S10" s="218">
        <f t="shared" si="4"/>
        <v>1309.2980311857157</v>
      </c>
      <c r="T10" s="218">
        <f t="shared" si="4"/>
        <v>1318.6334895185905</v>
      </c>
      <c r="U10" s="218">
        <f t="shared" si="4"/>
        <v>1292.7779309005789</v>
      </c>
      <c r="V10" s="218">
        <f t="shared" si="4"/>
        <v>1267.4293440201754</v>
      </c>
      <c r="W10" s="236">
        <f>SUM(B10:V10)</f>
        <v>31913.939205153572</v>
      </c>
      <c r="X10" s="39" t="s">
        <v>48</v>
      </c>
    </row>
    <row r="11" spans="1:24" s="202" customFormat="1" ht="15.75" x14ac:dyDescent="0.25">
      <c r="A11" s="234" t="s">
        <v>42</v>
      </c>
      <c r="B11" s="218">
        <f>B10</f>
        <v>1833.3333333333333</v>
      </c>
      <c r="C11" s="218">
        <f>B11+C10</f>
        <v>3630.7189542483657</v>
      </c>
      <c r="D11" s="218">
        <f t="shared" ref="D11:O11" si="5">C11+D10</f>
        <v>5392.8617198513393</v>
      </c>
      <c r="E11" s="218">
        <f t="shared" si="5"/>
        <v>7120.4526665209214</v>
      </c>
      <c r="F11" s="218">
        <f t="shared" si="5"/>
        <v>8814.1692809028646</v>
      </c>
      <c r="G11" s="218">
        <f t="shared" si="5"/>
        <v>10474.675765591044</v>
      </c>
      <c r="H11" s="218">
        <f t="shared" si="5"/>
        <v>12102.623299599063</v>
      </c>
      <c r="I11" s="218">
        <f t="shared" si="5"/>
        <v>13698.650293724571</v>
      </c>
      <c r="J11" s="218">
        <f t="shared" si="5"/>
        <v>15263.382640906442</v>
      </c>
      <c r="K11" s="218">
        <f t="shared" si="5"/>
        <v>16797.433961672981</v>
      </c>
      <c r="L11" s="218">
        <f t="shared" si="5"/>
        <v>18301.405844777433</v>
      </c>
      <c r="M11" s="218">
        <f t="shared" si="5"/>
        <v>19775.888083115129</v>
      </c>
      <c r="N11" s="218">
        <f t="shared" si="5"/>
        <v>21221.458905014832</v>
      </c>
      <c r="O11" s="218">
        <f t="shared" si="5"/>
        <v>22638.685200994933</v>
      </c>
      <c r="P11" s="218">
        <f t="shared" ref="P11:V11" si="6">O11+P10</f>
        <v>24028.122746073463</v>
      </c>
      <c r="Q11" s="218">
        <f t="shared" si="6"/>
        <v>25390.316417719081</v>
      </c>
      <c r="R11" s="218">
        <f t="shared" si="6"/>
        <v>26725.80040952851</v>
      </c>
      <c r="S11" s="218">
        <f t="shared" si="6"/>
        <v>28035.098440714228</v>
      </c>
      <c r="T11" s="218">
        <f t="shared" si="6"/>
        <v>29353.731930232818</v>
      </c>
      <c r="U11" s="218">
        <f t="shared" si="6"/>
        <v>30646.509861133396</v>
      </c>
      <c r="V11" s="218">
        <f t="shared" si="6"/>
        <v>31913.939205153572</v>
      </c>
      <c r="W11" s="320" t="s">
        <v>44</v>
      </c>
      <c r="X11" s="321" t="s">
        <v>82</v>
      </c>
    </row>
    <row r="12" spans="1:24" s="72" customFormat="1" ht="12.75" x14ac:dyDescent="0.2">
      <c r="A12" s="51"/>
      <c r="B12" s="69">
        <f t="shared" ref="B12:P12" si="7">IF(AND(B11&lt;0,C11&gt;0),B2+(-B11/(-B11+C11)),0)</f>
        <v>0</v>
      </c>
      <c r="C12" s="69">
        <f t="shared" si="7"/>
        <v>0</v>
      </c>
      <c r="D12" s="69">
        <f t="shared" si="7"/>
        <v>0</v>
      </c>
      <c r="E12" s="69">
        <f t="shared" si="7"/>
        <v>0</v>
      </c>
      <c r="F12" s="69">
        <f t="shared" si="7"/>
        <v>0</v>
      </c>
      <c r="G12" s="69">
        <f t="shared" si="7"/>
        <v>0</v>
      </c>
      <c r="H12" s="69">
        <f t="shared" si="7"/>
        <v>0</v>
      </c>
      <c r="I12" s="69">
        <f t="shared" si="7"/>
        <v>0</v>
      </c>
      <c r="J12" s="69">
        <f t="shared" si="7"/>
        <v>0</v>
      </c>
      <c r="K12" s="69">
        <f t="shared" si="7"/>
        <v>0</v>
      </c>
      <c r="L12" s="69">
        <f t="shared" si="7"/>
        <v>0</v>
      </c>
      <c r="M12" s="69">
        <f t="shared" si="7"/>
        <v>0</v>
      </c>
      <c r="N12" s="69">
        <f t="shared" si="7"/>
        <v>0</v>
      </c>
      <c r="O12" s="69">
        <f t="shared" si="7"/>
        <v>0</v>
      </c>
      <c r="P12" s="69">
        <f t="shared" si="7"/>
        <v>0</v>
      </c>
      <c r="Q12" s="69">
        <f>IF(AND(Q11&lt;0,R11&gt;0),Q2+(-Q11/(-Q11+R11)),0)</f>
        <v>0</v>
      </c>
      <c r="R12" s="69">
        <f>IF(AND(R11&lt;0,S11&gt;0),R2+(-R11/(-R11+S11)),0)</f>
        <v>0</v>
      </c>
      <c r="S12" s="69">
        <f>IF(AND(S11&lt;0,W11&gt;0),S2+(-S11/(-S11+W11)),0)</f>
        <v>0</v>
      </c>
      <c r="T12" s="69">
        <f>IF(AND(T11&lt;0,X11&gt;0),T2+(-T11/(-T11+X11)),0)</f>
        <v>0</v>
      </c>
      <c r="U12" s="69">
        <f>IF(AND(U11&lt;0,Y11&gt;0),U2+(-U11/(-U11+Y11)),0)</f>
        <v>0</v>
      </c>
      <c r="V12" s="69">
        <f>IF(AND(V11&lt;0,Z11&gt;0),V2+(-V11/(-V11+Z11)),0)</f>
        <v>0</v>
      </c>
      <c r="W12" s="70" t="s">
        <v>49</v>
      </c>
      <c r="X12" s="71" t="s">
        <v>82</v>
      </c>
    </row>
    <row r="13" spans="1:24" s="46" customFormat="1" ht="12.75" x14ac:dyDescent="0.2">
      <c r="A13" s="45" t="s">
        <v>81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73" t="s">
        <v>51</v>
      </c>
      <c r="X13" s="74" t="s">
        <v>82</v>
      </c>
    </row>
    <row r="14" spans="1:24" s="225" customFormat="1" x14ac:dyDescent="0.25">
      <c r="A14" s="226" t="s">
        <v>316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</row>
    <row r="15" spans="1:24" s="21" customFormat="1" ht="12.75" x14ac:dyDescent="0.2">
      <c r="A15" s="53" t="s">
        <v>83</v>
      </c>
      <c r="B15" s="241">
        <f>ИсхТовар!$B$12/1000</f>
        <v>59.5</v>
      </c>
      <c r="C15" s="241">
        <f>ИсхТовар!$B$12/1000</f>
        <v>59.5</v>
      </c>
      <c r="D15" s="241">
        <f>ИсхТовар!$B$12/1000</f>
        <v>59.5</v>
      </c>
      <c r="E15" s="241">
        <f>ИсхТовар!$B$12/1000</f>
        <v>59.5</v>
      </c>
      <c r="F15" s="241">
        <f>ИсхТовар!$B$12/1000</f>
        <v>59.5</v>
      </c>
      <c r="G15" s="241">
        <f>ИсхТовар!$B$12/1000</f>
        <v>59.5</v>
      </c>
      <c r="H15" s="241">
        <f>ИсхТовар!$B$12/1000</f>
        <v>59.5</v>
      </c>
      <c r="I15" s="241">
        <f>ИсхТовар!$B$12/1000</f>
        <v>59.5</v>
      </c>
      <c r="J15" s="241">
        <f>ИсхТовар!$B$12/1000</f>
        <v>59.5</v>
      </c>
      <c r="K15" s="239">
        <f>ИсхТовар!$B$13/1000</f>
        <v>8.5</v>
      </c>
      <c r="L15" s="239">
        <f>ИсхТовар!$B$13/1000</f>
        <v>8.5</v>
      </c>
      <c r="M15" s="239">
        <f>ИсхТовар!$B$13/1000</f>
        <v>8.5</v>
      </c>
      <c r="N15" s="239">
        <f>ИсхТовар!$B$13/1000</f>
        <v>8.5</v>
      </c>
      <c r="O15" s="239">
        <f>ИсхТовар!$B$13/1000</f>
        <v>8.5</v>
      </c>
      <c r="P15" s="239">
        <f>ИсхТовар!$B$13/1000</f>
        <v>8.5</v>
      </c>
      <c r="Q15" s="239">
        <f>ИсхТовар!$B$13/1000</f>
        <v>8.5</v>
      </c>
      <c r="R15" s="239">
        <f>ИсхТовар!$B$13/1000</f>
        <v>8.5</v>
      </c>
      <c r="S15" s="239">
        <f>ИсхТовар!$B$13/1000</f>
        <v>8.5</v>
      </c>
      <c r="T15" s="239">
        <f>ИсхТовар!$B$13/1000</f>
        <v>8.5</v>
      </c>
      <c r="U15" s="239">
        <f>ИсхТовар!$B$13/1000</f>
        <v>8.5</v>
      </c>
      <c r="V15" s="239">
        <f>ИсхТовар!$B$13/1000</f>
        <v>8.5</v>
      </c>
      <c r="W15" s="39">
        <f>SUM(B15:V15)</f>
        <v>637.5</v>
      </c>
      <c r="X15" s="41">
        <f>NPV($X$1,B15:V15)</f>
        <v>560.8693498963637</v>
      </c>
    </row>
    <row r="16" spans="1:24" ht="25.5" x14ac:dyDescent="0.25">
      <c r="A16" s="89" t="s">
        <v>77</v>
      </c>
      <c r="B16" s="241">
        <f>ИсхТовар!$F$8/1000-'3товар'!B15</f>
        <v>875.5</v>
      </c>
      <c r="C16" s="241">
        <f>ИсхТовар!$F$8/1000-'3товар'!C15</f>
        <v>875.5</v>
      </c>
      <c r="D16" s="241">
        <f>ИсхТовар!$F$8/1000-'3товар'!D15</f>
        <v>875.5</v>
      </c>
      <c r="E16" s="241">
        <f>ИсхТовар!$F$8/1000-'3товар'!E15</f>
        <v>875.5</v>
      </c>
      <c r="F16" s="241">
        <f>ИсхТовар!$F$8/1000-'3товар'!F15</f>
        <v>875.5</v>
      </c>
      <c r="G16" s="241">
        <f>ИсхТовар!$F$8/1000-'3товар'!G15</f>
        <v>875.5</v>
      </c>
      <c r="H16" s="241">
        <f>ИсхТовар!$F$8/1000-'3товар'!H15</f>
        <v>875.5</v>
      </c>
      <c r="I16" s="241">
        <f>ИсхТовар!$F$8/1000-'3товар'!I15</f>
        <v>875.5</v>
      </c>
      <c r="J16" s="241">
        <f>ИсхТовар!$F$8/1000-'3товар'!J15</f>
        <v>875.5</v>
      </c>
      <c r="K16" s="241">
        <f>ИсхТовар!$F$9/1000-'3товар'!K15</f>
        <v>875.5</v>
      </c>
      <c r="L16" s="241">
        <f>ИсхТовар!$F$9/1000-'3товар'!L15</f>
        <v>875.5</v>
      </c>
      <c r="M16" s="241">
        <f>ИсхТовар!$F$9/1000-'3товар'!M15</f>
        <v>875.5</v>
      </c>
      <c r="N16" s="241">
        <f>ИсхТовар!$F$9/1000-'3товар'!N15</f>
        <v>875.5</v>
      </c>
      <c r="O16" s="241">
        <f>ИсхТовар!$F$9/1000-'3товар'!O15</f>
        <v>875.5</v>
      </c>
      <c r="P16" s="241">
        <f>ИсхТовар!$F$9/1000-'3товар'!P15</f>
        <v>875.5</v>
      </c>
      <c r="Q16" s="241">
        <f>ИсхТовар!$F$9/1000-'3товар'!Q15</f>
        <v>875.5</v>
      </c>
      <c r="R16" s="241">
        <f>ИсхТовар!$F$9/1000-'3товар'!R15</f>
        <v>875.5</v>
      </c>
      <c r="S16" s="241">
        <f>ИсхТовар!$F$9/1000-'3товар'!S15</f>
        <v>875.5</v>
      </c>
      <c r="T16" s="241">
        <f>ИсхТовар!$F$9/1000-'3товар'!T15</f>
        <v>875.5</v>
      </c>
      <c r="U16" s="241">
        <f>ИсхТовар!$F$9/1000-'3товар'!U15</f>
        <v>875.5</v>
      </c>
      <c r="V16" s="241">
        <f>ИсхТовар!$F$9/1000-'3товар'!V15</f>
        <v>875.5</v>
      </c>
      <c r="W16" s="39">
        <f>SUM(B16:V16)</f>
        <v>18385.5</v>
      </c>
      <c r="X16" s="41">
        <f>NPV($X$1,B16:V16)</f>
        <v>14893.313620779187</v>
      </c>
    </row>
    <row r="17" spans="1:24" ht="25.5" x14ac:dyDescent="0.25">
      <c r="A17" s="53" t="s">
        <v>78</v>
      </c>
      <c r="B17" s="242">
        <f>ИсхТовар!$H$3/1000</f>
        <v>2805</v>
      </c>
      <c r="C17" s="242">
        <f>ИсхТовар!$H$3/1000</f>
        <v>2805</v>
      </c>
      <c r="D17" s="242">
        <f>ИсхТовар!$H$3/1000</f>
        <v>2805</v>
      </c>
      <c r="E17" s="242">
        <f>ИсхТовар!$H$3/1000</f>
        <v>2805</v>
      </c>
      <c r="F17" s="242">
        <f>ИсхТовар!$H$3/1000</f>
        <v>2805</v>
      </c>
      <c r="G17" s="242">
        <f>ИсхТовар!$H$3/1000</f>
        <v>2805</v>
      </c>
      <c r="H17" s="242">
        <f>ИсхТовар!$H$3/1000</f>
        <v>2805</v>
      </c>
      <c r="I17" s="242">
        <f>ИсхТовар!$H$3/1000</f>
        <v>2805</v>
      </c>
      <c r="J17" s="242">
        <f>ИсхТовар!$H$3/1000</f>
        <v>2805</v>
      </c>
      <c r="K17" s="242">
        <f>ИсхТовар!$H$3/1000</f>
        <v>2805</v>
      </c>
      <c r="L17" s="242">
        <f>ИсхТовар!$H$3/1000</f>
        <v>2805</v>
      </c>
      <c r="M17" s="242">
        <f>ИсхТовар!$H$3/1000</f>
        <v>2805</v>
      </c>
      <c r="N17" s="242">
        <f>ИсхТовар!$H$3/1000</f>
        <v>2805</v>
      </c>
      <c r="O17" s="242">
        <f>ИсхТовар!$H$3/1000</f>
        <v>2805</v>
      </c>
      <c r="P17" s="242">
        <f>ИсхТовар!$H$3/1000</f>
        <v>2805</v>
      </c>
      <c r="Q17" s="242">
        <f>ИсхТовар!$H$3/1000</f>
        <v>2805</v>
      </c>
      <c r="R17" s="242">
        <f>ИсхТовар!$H$3/1000</f>
        <v>2805</v>
      </c>
      <c r="S17" s="242">
        <f>ИсхТовар!$H$3/1000</f>
        <v>2805</v>
      </c>
      <c r="T17" s="242">
        <f>ИсхТовар!$H$3/1000</f>
        <v>2805</v>
      </c>
      <c r="U17" s="242">
        <f>ИсхТовар!$H$3/1000</f>
        <v>2805</v>
      </c>
      <c r="V17" s="242">
        <f>ИсхТовар!$H$3/1000</f>
        <v>2805</v>
      </c>
      <c r="W17" s="39">
        <f>SUM(B17:V17)</f>
        <v>58905</v>
      </c>
      <c r="X17" s="41">
        <f>NPV($X$1,B17:V17)</f>
        <v>47716.441697642047</v>
      </c>
    </row>
    <row r="18" spans="1:24" ht="30" x14ac:dyDescent="0.25">
      <c r="A18" s="54" t="s">
        <v>80</v>
      </c>
      <c r="B18" s="242">
        <f>B17-B15-B16</f>
        <v>1870</v>
      </c>
      <c r="C18" s="242">
        <f t="shared" ref="C18:V18" si="8">C17-C15-C16</f>
        <v>1870</v>
      </c>
      <c r="D18" s="242">
        <f t="shared" si="8"/>
        <v>1870</v>
      </c>
      <c r="E18" s="242">
        <f t="shared" si="8"/>
        <v>1870</v>
      </c>
      <c r="F18" s="242">
        <f t="shared" si="8"/>
        <v>1870</v>
      </c>
      <c r="G18" s="242">
        <f t="shared" si="8"/>
        <v>1870</v>
      </c>
      <c r="H18" s="242">
        <f t="shared" si="8"/>
        <v>1870</v>
      </c>
      <c r="I18" s="242">
        <f t="shared" si="8"/>
        <v>1870</v>
      </c>
      <c r="J18" s="242">
        <f t="shared" si="8"/>
        <v>1870</v>
      </c>
      <c r="K18" s="242">
        <f t="shared" si="8"/>
        <v>1921</v>
      </c>
      <c r="L18" s="242">
        <f t="shared" si="8"/>
        <v>1921</v>
      </c>
      <c r="M18" s="242">
        <f t="shared" si="8"/>
        <v>1921</v>
      </c>
      <c r="N18" s="242">
        <f t="shared" si="8"/>
        <v>1921</v>
      </c>
      <c r="O18" s="242">
        <f t="shared" si="8"/>
        <v>1921</v>
      </c>
      <c r="P18" s="242">
        <f t="shared" si="8"/>
        <v>1921</v>
      </c>
      <c r="Q18" s="242">
        <f t="shared" si="8"/>
        <v>1921</v>
      </c>
      <c r="R18" s="242">
        <f t="shared" si="8"/>
        <v>1921</v>
      </c>
      <c r="S18" s="242">
        <f t="shared" si="8"/>
        <v>1921</v>
      </c>
      <c r="T18" s="242">
        <f t="shared" si="8"/>
        <v>1921</v>
      </c>
      <c r="U18" s="242">
        <f t="shared" si="8"/>
        <v>1921</v>
      </c>
      <c r="V18" s="242">
        <f t="shared" si="8"/>
        <v>1921</v>
      </c>
      <c r="W18" s="39">
        <f>SUM(B18:V18)</f>
        <v>39882</v>
      </c>
      <c r="X18" s="41">
        <f>NPV($X$1,B18:V18)</f>
        <v>32262.258726966513</v>
      </c>
    </row>
    <row r="19" spans="1:24" ht="36" x14ac:dyDescent="0.25">
      <c r="A19" s="88" t="s">
        <v>79</v>
      </c>
      <c r="B19" s="39">
        <f t="shared" ref="B19:P19" si="9">B18/(B16+B15)</f>
        <v>2</v>
      </c>
      <c r="C19" s="39">
        <f t="shared" si="9"/>
        <v>2</v>
      </c>
      <c r="D19" s="39">
        <f t="shared" si="9"/>
        <v>2</v>
      </c>
      <c r="E19" s="39">
        <f t="shared" si="9"/>
        <v>2</v>
      </c>
      <c r="F19" s="39">
        <f t="shared" si="9"/>
        <v>2</v>
      </c>
      <c r="G19" s="39">
        <f t="shared" si="9"/>
        <v>2</v>
      </c>
      <c r="H19" s="39">
        <f t="shared" si="9"/>
        <v>2</v>
      </c>
      <c r="I19" s="39">
        <f t="shared" si="9"/>
        <v>2</v>
      </c>
      <c r="J19" s="39">
        <f t="shared" si="9"/>
        <v>2</v>
      </c>
      <c r="K19" s="39">
        <f t="shared" si="9"/>
        <v>2.1730769230769229</v>
      </c>
      <c r="L19" s="39">
        <f t="shared" si="9"/>
        <v>2.1730769230769229</v>
      </c>
      <c r="M19" s="39">
        <f t="shared" si="9"/>
        <v>2.1730769230769229</v>
      </c>
      <c r="N19" s="39">
        <f t="shared" si="9"/>
        <v>2.1730769230769229</v>
      </c>
      <c r="O19" s="39">
        <f t="shared" si="9"/>
        <v>2.1730769230769229</v>
      </c>
      <c r="P19" s="39">
        <f t="shared" si="9"/>
        <v>2.1730769230769229</v>
      </c>
      <c r="Q19" s="39">
        <f t="shared" ref="Q19:V19" si="10">Q18/(Q16+Q15)</f>
        <v>2.1730769230769229</v>
      </c>
      <c r="R19" s="39">
        <f t="shared" si="10"/>
        <v>2.1730769230769229</v>
      </c>
      <c r="S19" s="39">
        <f t="shared" si="10"/>
        <v>2.1730769230769229</v>
      </c>
      <c r="T19" s="39">
        <f t="shared" si="10"/>
        <v>2.1730769230769229</v>
      </c>
      <c r="U19" s="39">
        <f t="shared" si="10"/>
        <v>2.1730769230769229</v>
      </c>
      <c r="V19" s="39">
        <f t="shared" si="10"/>
        <v>2.1730769230769229</v>
      </c>
      <c r="W19" s="39" t="s">
        <v>82</v>
      </c>
      <c r="X19" s="41" t="s">
        <v>82</v>
      </c>
    </row>
    <row r="20" spans="1:24" x14ac:dyDescent="0.25">
      <c r="A20" s="55" t="s">
        <v>41</v>
      </c>
      <c r="B20" s="39">
        <f>B18</f>
        <v>1870</v>
      </c>
      <c r="C20" s="39">
        <f>B20+C18</f>
        <v>3740</v>
      </c>
      <c r="D20" s="39">
        <f t="shared" ref="D20:V20" si="11">C20+D18</f>
        <v>5610</v>
      </c>
      <c r="E20" s="39">
        <f t="shared" si="11"/>
        <v>7480</v>
      </c>
      <c r="F20" s="39">
        <f t="shared" si="11"/>
        <v>9350</v>
      </c>
      <c r="G20" s="39">
        <f t="shared" si="11"/>
        <v>11220</v>
      </c>
      <c r="H20" s="39">
        <f t="shared" si="11"/>
        <v>13090</v>
      </c>
      <c r="I20" s="39">
        <f t="shared" si="11"/>
        <v>14960</v>
      </c>
      <c r="J20" s="39">
        <f t="shared" si="11"/>
        <v>16830</v>
      </c>
      <c r="K20" s="39">
        <f t="shared" si="11"/>
        <v>18751</v>
      </c>
      <c r="L20" s="39">
        <f t="shared" si="11"/>
        <v>20672</v>
      </c>
      <c r="M20" s="39">
        <f t="shared" si="11"/>
        <v>22593</v>
      </c>
      <c r="N20" s="39">
        <f t="shared" si="11"/>
        <v>24514</v>
      </c>
      <c r="O20" s="39">
        <f t="shared" si="11"/>
        <v>26435</v>
      </c>
      <c r="P20" s="39">
        <f t="shared" si="11"/>
        <v>28356</v>
      </c>
      <c r="Q20" s="39">
        <f t="shared" si="11"/>
        <v>30277</v>
      </c>
      <c r="R20" s="39">
        <f t="shared" si="11"/>
        <v>32198</v>
      </c>
      <c r="S20" s="39">
        <f t="shared" si="11"/>
        <v>34119</v>
      </c>
      <c r="T20" s="39">
        <f t="shared" si="11"/>
        <v>36040</v>
      </c>
      <c r="U20" s="39">
        <f t="shared" si="11"/>
        <v>37961</v>
      </c>
      <c r="V20" s="39">
        <f t="shared" si="11"/>
        <v>39882</v>
      </c>
      <c r="W20" s="326" t="s">
        <v>43</v>
      </c>
      <c r="X20" s="319">
        <f>-MIN(B20:V20)</f>
        <v>-1870</v>
      </c>
    </row>
    <row r="21" spans="1:24" s="48" customFormat="1" ht="30" x14ac:dyDescent="0.2">
      <c r="A21" s="54" t="s">
        <v>50</v>
      </c>
      <c r="B21" s="218">
        <f t="shared" ref="B21:V21" si="12">B18/(1+$X$1)^B$2</f>
        <v>1833.3333333333333</v>
      </c>
      <c r="C21" s="218">
        <f t="shared" si="12"/>
        <v>1797.3856209150326</v>
      </c>
      <c r="D21" s="218">
        <f t="shared" si="12"/>
        <v>1762.1427656029734</v>
      </c>
      <c r="E21" s="218">
        <f t="shared" si="12"/>
        <v>1727.5909466695816</v>
      </c>
      <c r="F21" s="218">
        <f t="shared" si="12"/>
        <v>1693.7166143819427</v>
      </c>
      <c r="G21" s="218">
        <f t="shared" si="12"/>
        <v>1660.5064846881789</v>
      </c>
      <c r="H21" s="218">
        <f t="shared" si="12"/>
        <v>1627.9475340080189</v>
      </c>
      <c r="I21" s="218">
        <f t="shared" si="12"/>
        <v>1596.0269941255087</v>
      </c>
      <c r="J21" s="218">
        <f t="shared" si="12"/>
        <v>1564.7323471818713</v>
      </c>
      <c r="K21" s="218">
        <f t="shared" si="12"/>
        <v>1575.8890840601732</v>
      </c>
      <c r="L21" s="218">
        <f t="shared" si="12"/>
        <v>1544.9892980982095</v>
      </c>
      <c r="M21" s="218">
        <f t="shared" si="12"/>
        <v>1514.6953902923619</v>
      </c>
      <c r="N21" s="218">
        <f t="shared" si="12"/>
        <v>1484.9954806787864</v>
      </c>
      <c r="O21" s="218">
        <f t="shared" si="12"/>
        <v>1455.8779222341041</v>
      </c>
      <c r="P21" s="218">
        <f t="shared" si="12"/>
        <v>1427.3312963079456</v>
      </c>
      <c r="Q21" s="218">
        <f t="shared" si="12"/>
        <v>1399.3444081450443</v>
      </c>
      <c r="R21" s="218">
        <f t="shared" si="12"/>
        <v>1371.9062824951416</v>
      </c>
      <c r="S21" s="218">
        <f t="shared" si="12"/>
        <v>1345.0061593089624</v>
      </c>
      <c r="T21" s="218">
        <f t="shared" si="12"/>
        <v>1318.6334895185905</v>
      </c>
      <c r="U21" s="218">
        <f t="shared" si="12"/>
        <v>1292.7779309005789</v>
      </c>
      <c r="V21" s="218">
        <f t="shared" si="12"/>
        <v>1267.4293440201754</v>
      </c>
      <c r="W21" s="236">
        <f>SUM(B21:V21)</f>
        <v>32262.258726966516</v>
      </c>
      <c r="X21" s="39" t="s">
        <v>48</v>
      </c>
    </row>
    <row r="22" spans="1:24" s="48" customFormat="1" ht="12.75" x14ac:dyDescent="0.2">
      <c r="A22" s="55" t="s">
        <v>42</v>
      </c>
      <c r="B22" s="323">
        <f>B21</f>
        <v>1833.3333333333333</v>
      </c>
      <c r="C22" s="323">
        <f>B22+C21</f>
        <v>3630.7189542483657</v>
      </c>
      <c r="D22" s="323">
        <f t="shared" ref="D22:Q23" si="13">C22+D21</f>
        <v>5392.8617198513393</v>
      </c>
      <c r="E22" s="323">
        <f t="shared" si="13"/>
        <v>7120.4526665209214</v>
      </c>
      <c r="F22" s="323">
        <f t="shared" si="13"/>
        <v>8814.1692809028646</v>
      </c>
      <c r="G22" s="323">
        <f t="shared" si="13"/>
        <v>10474.675765591044</v>
      </c>
      <c r="H22" s="323">
        <f t="shared" si="13"/>
        <v>12102.623299599063</v>
      </c>
      <c r="I22" s="323">
        <f t="shared" si="13"/>
        <v>13698.650293724571</v>
      </c>
      <c r="J22" s="323">
        <f t="shared" si="13"/>
        <v>15263.382640906442</v>
      </c>
      <c r="K22" s="323">
        <f t="shared" si="13"/>
        <v>16839.271724966617</v>
      </c>
      <c r="L22" s="323">
        <f t="shared" si="13"/>
        <v>18384.261023064828</v>
      </c>
      <c r="M22" s="323">
        <f t="shared" si="13"/>
        <v>19898.956413357191</v>
      </c>
      <c r="N22" s="323">
        <f t="shared" si="13"/>
        <v>21383.951894035978</v>
      </c>
      <c r="O22" s="323">
        <f t="shared" si="13"/>
        <v>22839.829816270081</v>
      </c>
      <c r="P22" s="323">
        <f t="shared" si="13"/>
        <v>24267.161112578025</v>
      </c>
      <c r="Q22" s="323">
        <f t="shared" si="13"/>
        <v>25666.505520723069</v>
      </c>
      <c r="R22" s="323">
        <f t="shared" ref="R22:V23" si="14">Q22+R21</f>
        <v>27038.411803218209</v>
      </c>
      <c r="S22" s="323">
        <f t="shared" si="14"/>
        <v>28383.417962527172</v>
      </c>
      <c r="T22" s="323">
        <f t="shared" si="14"/>
        <v>29702.051452045762</v>
      </c>
      <c r="U22" s="323">
        <f t="shared" si="14"/>
        <v>30994.82938294634</v>
      </c>
      <c r="V22" s="323">
        <f t="shared" si="14"/>
        <v>32262.258726966516</v>
      </c>
      <c r="W22" s="320" t="s">
        <v>44</v>
      </c>
      <c r="X22" s="321" t="s">
        <v>82</v>
      </c>
    </row>
    <row r="23" spans="1:24" s="48" customFormat="1" ht="12.75" x14ac:dyDescent="0.2">
      <c r="A23" s="51"/>
      <c r="B23" s="69">
        <f>IF(AND(B22&lt;0,C22&gt;0),B$2+(-B22/(-B22+C22)),0)</f>
        <v>0</v>
      </c>
      <c r="C23" s="69">
        <f>IF(AND(C22&lt;0,D22&gt;0),C13+(-C22/(-C22+D22)),0)</f>
        <v>0</v>
      </c>
      <c r="D23" s="323">
        <f t="shared" ref="D23:O23" si="15">C23+D22</f>
        <v>5392.8617198513393</v>
      </c>
      <c r="E23" s="323">
        <f t="shared" si="15"/>
        <v>12513.314386372262</v>
      </c>
      <c r="F23" s="323">
        <f t="shared" si="15"/>
        <v>21327.483667275126</v>
      </c>
      <c r="G23" s="323">
        <f t="shared" si="15"/>
        <v>31802.15943286617</v>
      </c>
      <c r="H23" s="323">
        <f t="shared" si="15"/>
        <v>43904.782732465232</v>
      </c>
      <c r="I23" s="323">
        <f t="shared" si="15"/>
        <v>57603.433026189799</v>
      </c>
      <c r="J23" s="323">
        <f t="shared" si="15"/>
        <v>72866.815667096234</v>
      </c>
      <c r="K23" s="323">
        <f t="shared" si="15"/>
        <v>89706.087392062851</v>
      </c>
      <c r="L23" s="323">
        <f t="shared" si="15"/>
        <v>108090.34841512768</v>
      </c>
      <c r="M23" s="323">
        <f t="shared" si="15"/>
        <v>127989.30482848486</v>
      </c>
      <c r="N23" s="323">
        <f t="shared" si="15"/>
        <v>149373.25672252083</v>
      </c>
      <c r="O23" s="323">
        <f t="shared" si="15"/>
        <v>172213.0865387909</v>
      </c>
      <c r="P23" s="323">
        <f t="shared" si="13"/>
        <v>196480.24765136893</v>
      </c>
      <c r="Q23" s="323">
        <f t="shared" si="13"/>
        <v>222146.75317209199</v>
      </c>
      <c r="R23" s="323">
        <f t="shared" si="14"/>
        <v>249185.16497531021</v>
      </c>
      <c r="S23" s="323">
        <f t="shared" si="14"/>
        <v>277568.5829378374</v>
      </c>
      <c r="T23" s="323">
        <f t="shared" si="14"/>
        <v>307270.63438988314</v>
      </c>
      <c r="U23" s="323">
        <f t="shared" si="14"/>
        <v>338265.46377282951</v>
      </c>
      <c r="V23" s="323">
        <f t="shared" si="14"/>
        <v>370527.72249979601</v>
      </c>
      <c r="W23" s="70" t="s">
        <v>49</v>
      </c>
      <c r="X23" s="71" t="s">
        <v>82</v>
      </c>
    </row>
    <row r="24" spans="1:24" s="48" customFormat="1" ht="12.75" x14ac:dyDescent="0.2">
      <c r="A24" s="51"/>
      <c r="B24" s="69">
        <f>IF(AND(B23&lt;0,C23&gt;0),B$2+(-B23/(-B23+C23)),0)</f>
        <v>0</v>
      </c>
      <c r="C24" s="69">
        <f t="shared" ref="C24:P24" si="16">IF(AND(C23&lt;0,D23&gt;0),C$2+(-C23/(-C23+D23)),0)</f>
        <v>0</v>
      </c>
      <c r="D24" s="69">
        <f t="shared" si="16"/>
        <v>0</v>
      </c>
      <c r="E24" s="69">
        <f t="shared" si="16"/>
        <v>0</v>
      </c>
      <c r="F24" s="69">
        <f t="shared" si="16"/>
        <v>0</v>
      </c>
      <c r="G24" s="69">
        <f t="shared" si="16"/>
        <v>0</v>
      </c>
      <c r="H24" s="69">
        <f t="shared" si="16"/>
        <v>0</v>
      </c>
      <c r="I24" s="69">
        <f t="shared" si="16"/>
        <v>0</v>
      </c>
      <c r="J24" s="69">
        <f t="shared" si="16"/>
        <v>0</v>
      </c>
      <c r="K24" s="69">
        <f t="shared" si="16"/>
        <v>0</v>
      </c>
      <c r="L24" s="69">
        <f t="shared" si="16"/>
        <v>0</v>
      </c>
      <c r="M24" s="69">
        <f t="shared" si="16"/>
        <v>0</v>
      </c>
      <c r="N24" s="69">
        <f t="shared" si="16"/>
        <v>0</v>
      </c>
      <c r="O24" s="69">
        <f t="shared" si="16"/>
        <v>0</v>
      </c>
      <c r="P24" s="69">
        <f t="shared" si="16"/>
        <v>0</v>
      </c>
      <c r="Q24" s="69">
        <f>IF(AND(Q23&lt;0,R23&gt;0),Q$2+(-Q23/(-Q23+R23)),0)</f>
        <v>0</v>
      </c>
      <c r="R24" s="69">
        <f>IF(AND(R23&lt;0,S23&gt;0),R$2+(-R23/(-R23+S23)),0)</f>
        <v>0</v>
      </c>
      <c r="S24" s="69">
        <f>IF(AND(S23&lt;0,W23&gt;0),S$2+(-S23/(-S23+W23)),0)</f>
        <v>0</v>
      </c>
      <c r="T24" s="69">
        <f>IF(AND(T23&lt;0,X23&gt;0),T$2+(-T23/(-T23+X23)),0)</f>
        <v>0</v>
      </c>
      <c r="U24" s="69">
        <f>IF(AND(U23&lt;0,Y23&gt;0),U$2+(-U23/(-U23+Y23)),0)</f>
        <v>0</v>
      </c>
      <c r="V24" s="69">
        <f>IF(AND(V23&lt;0,Z23&gt;0),V$2+(-V23/(-V23+Z23)),0)</f>
        <v>0</v>
      </c>
      <c r="W24" s="21"/>
      <c r="X24" s="21"/>
    </row>
    <row r="25" spans="1:24" s="46" customFormat="1" ht="12.75" x14ac:dyDescent="0.2">
      <c r="A25" s="45" t="s">
        <v>84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73" t="s">
        <v>51</v>
      </c>
      <c r="X25" s="74" t="s">
        <v>82</v>
      </c>
    </row>
    <row r="26" spans="1:24" x14ac:dyDescent="0.25">
      <c r="A26" s="96" t="s">
        <v>46</v>
      </c>
      <c r="B26" s="217">
        <f>B18-B7</f>
        <v>0</v>
      </c>
      <c r="C26" s="217">
        <f t="shared" ref="C26:V26" si="17">C18-C7</f>
        <v>0</v>
      </c>
      <c r="D26" s="217">
        <f t="shared" si="17"/>
        <v>0</v>
      </c>
      <c r="E26" s="217">
        <f t="shared" si="17"/>
        <v>0</v>
      </c>
      <c r="F26" s="217">
        <f t="shared" si="17"/>
        <v>0</v>
      </c>
      <c r="G26" s="217">
        <f t="shared" si="17"/>
        <v>0</v>
      </c>
      <c r="H26" s="217">
        <f t="shared" si="17"/>
        <v>0</v>
      </c>
      <c r="I26" s="217">
        <f t="shared" si="17"/>
        <v>0</v>
      </c>
      <c r="J26" s="217">
        <f t="shared" si="17"/>
        <v>0</v>
      </c>
      <c r="K26" s="217">
        <f t="shared" si="17"/>
        <v>51</v>
      </c>
      <c r="L26" s="217">
        <f t="shared" si="17"/>
        <v>51</v>
      </c>
      <c r="M26" s="217">
        <f t="shared" si="17"/>
        <v>51</v>
      </c>
      <c r="N26" s="217">
        <f t="shared" si="17"/>
        <v>51</v>
      </c>
      <c r="O26" s="217">
        <f t="shared" si="17"/>
        <v>51</v>
      </c>
      <c r="P26" s="217">
        <f t="shared" si="17"/>
        <v>51</v>
      </c>
      <c r="Q26" s="217">
        <f t="shared" si="17"/>
        <v>51</v>
      </c>
      <c r="R26" s="217">
        <f t="shared" si="17"/>
        <v>51</v>
      </c>
      <c r="S26" s="217">
        <f t="shared" si="17"/>
        <v>51</v>
      </c>
      <c r="T26" s="217">
        <f t="shared" si="17"/>
        <v>0</v>
      </c>
      <c r="U26" s="217">
        <f t="shared" si="17"/>
        <v>0</v>
      </c>
      <c r="V26" s="217">
        <f t="shared" si="17"/>
        <v>0</v>
      </c>
      <c r="W26" s="39">
        <f>SUM(B26:V26)</f>
        <v>459</v>
      </c>
      <c r="X26" s="50">
        <f>NPV($X$1,B26:V26)</f>
        <v>348.31952181293963</v>
      </c>
    </row>
    <row r="27" spans="1:24" ht="18.75" x14ac:dyDescent="0.3">
      <c r="A27" s="40" t="s">
        <v>47</v>
      </c>
      <c r="B27" s="217">
        <f t="shared" ref="B27:V27" si="18">B26/(1+$X$1)^B$2</f>
        <v>0</v>
      </c>
      <c r="C27" s="217">
        <f t="shared" si="18"/>
        <v>0</v>
      </c>
      <c r="D27" s="217">
        <f t="shared" si="18"/>
        <v>0</v>
      </c>
      <c r="E27" s="217">
        <f t="shared" si="18"/>
        <v>0</v>
      </c>
      <c r="F27" s="217">
        <f t="shared" si="18"/>
        <v>0</v>
      </c>
      <c r="G27" s="217">
        <f t="shared" si="18"/>
        <v>0</v>
      </c>
      <c r="H27" s="217">
        <f t="shared" si="18"/>
        <v>0</v>
      </c>
      <c r="I27" s="217">
        <f t="shared" si="18"/>
        <v>0</v>
      </c>
      <c r="J27" s="217">
        <f t="shared" si="18"/>
        <v>0</v>
      </c>
      <c r="K27" s="217">
        <f t="shared" si="18"/>
        <v>41.837763293632918</v>
      </c>
      <c r="L27" s="217">
        <f t="shared" si="18"/>
        <v>41.017414993757775</v>
      </c>
      <c r="M27" s="217">
        <f t="shared" si="18"/>
        <v>40.213151954664475</v>
      </c>
      <c r="N27" s="217">
        <f t="shared" si="18"/>
        <v>39.424658779082819</v>
      </c>
      <c r="O27" s="217">
        <f t="shared" si="18"/>
        <v>38.651626254002764</v>
      </c>
      <c r="P27" s="217">
        <f t="shared" si="18"/>
        <v>37.893751229414484</v>
      </c>
      <c r="Q27" s="217">
        <f t="shared" si="18"/>
        <v>37.15073649942596</v>
      </c>
      <c r="R27" s="217">
        <f t="shared" si="18"/>
        <v>36.422290685711722</v>
      </c>
      <c r="S27" s="217">
        <f t="shared" si="18"/>
        <v>35.708128123246787</v>
      </c>
      <c r="T27" s="217">
        <f t="shared" si="18"/>
        <v>0</v>
      </c>
      <c r="U27" s="217">
        <f t="shared" si="18"/>
        <v>0</v>
      </c>
      <c r="V27" s="217">
        <f t="shared" si="18"/>
        <v>0</v>
      </c>
      <c r="W27" s="327">
        <f>SUM(B27:V27)</f>
        <v>348.31952181293974</v>
      </c>
      <c r="X27" s="328" t="s">
        <v>48</v>
      </c>
    </row>
    <row r="28" spans="1:24" x14ac:dyDescent="0.25">
      <c r="A28" s="40" t="s">
        <v>42</v>
      </c>
      <c r="B28" s="217">
        <f>B27</f>
        <v>0</v>
      </c>
      <c r="C28" s="217">
        <f>B28+C27</f>
        <v>0</v>
      </c>
      <c r="D28" s="217">
        <f t="shared" ref="D28:Q28" si="19">C28+D27</f>
        <v>0</v>
      </c>
      <c r="E28" s="217">
        <f t="shared" si="19"/>
        <v>0</v>
      </c>
      <c r="F28" s="217">
        <f t="shared" si="19"/>
        <v>0</v>
      </c>
      <c r="G28" s="217">
        <f t="shared" si="19"/>
        <v>0</v>
      </c>
      <c r="H28" s="217">
        <f t="shared" si="19"/>
        <v>0</v>
      </c>
      <c r="I28" s="217">
        <f t="shared" si="19"/>
        <v>0</v>
      </c>
      <c r="J28" s="217">
        <f t="shared" si="19"/>
        <v>0</v>
      </c>
      <c r="K28" s="217">
        <f t="shared" si="19"/>
        <v>41.837763293632918</v>
      </c>
      <c r="L28" s="217">
        <f t="shared" si="19"/>
        <v>82.855178287390686</v>
      </c>
      <c r="M28" s="217">
        <f t="shared" si="19"/>
        <v>123.06833024205517</v>
      </c>
      <c r="N28" s="217">
        <f t="shared" si="19"/>
        <v>162.49298902113799</v>
      </c>
      <c r="O28" s="217">
        <f t="shared" si="19"/>
        <v>201.14461527514075</v>
      </c>
      <c r="P28" s="217">
        <f t="shared" si="19"/>
        <v>239.03836650455523</v>
      </c>
      <c r="Q28" s="217">
        <f t="shared" si="19"/>
        <v>276.18910300398119</v>
      </c>
      <c r="R28" s="217">
        <f>Q28+R27</f>
        <v>312.61139368969293</v>
      </c>
      <c r="S28" s="217">
        <f>R28+S27</f>
        <v>348.31952181293974</v>
      </c>
      <c r="T28" s="217">
        <f>S28+T27</f>
        <v>348.31952181293974</v>
      </c>
      <c r="U28" s="217">
        <f>T28+U27</f>
        <v>348.31952181293974</v>
      </c>
      <c r="V28" s="217">
        <f>U28+V27</f>
        <v>348.31952181293974</v>
      </c>
      <c r="W28" s="39"/>
      <c r="X28" s="136">
        <f>W21-W10</f>
        <v>348.319521812944</v>
      </c>
    </row>
    <row r="29" spans="1:24" s="37" customFormat="1" ht="12.75" x14ac:dyDescent="0.2">
      <c r="A29" s="51"/>
      <c r="B29" s="69">
        <f>IF(AND(B28&lt;0,C28&gt;0),B$2+(-B28/(-B28+C28)),0)</f>
        <v>0</v>
      </c>
      <c r="C29" s="69">
        <f t="shared" ref="C29:P29" si="20">IF(AND(C28&lt;0,D28&gt;0),C$2+(-C28/(-C28+D28)),0)</f>
        <v>0</v>
      </c>
      <c r="D29" s="69">
        <f t="shared" si="20"/>
        <v>0</v>
      </c>
      <c r="E29" s="69">
        <f t="shared" si="20"/>
        <v>0</v>
      </c>
      <c r="F29" s="69">
        <f t="shared" si="20"/>
        <v>0</v>
      </c>
      <c r="G29" s="69">
        <f t="shared" si="20"/>
        <v>0</v>
      </c>
      <c r="H29" s="69">
        <f t="shared" si="20"/>
        <v>0</v>
      </c>
      <c r="I29" s="69">
        <f t="shared" si="20"/>
        <v>0</v>
      </c>
      <c r="J29" s="69">
        <f t="shared" si="20"/>
        <v>0</v>
      </c>
      <c r="K29" s="69">
        <f t="shared" si="20"/>
        <v>0</v>
      </c>
      <c r="L29" s="69">
        <f t="shared" si="20"/>
        <v>0</v>
      </c>
      <c r="M29" s="69">
        <f t="shared" si="20"/>
        <v>0</v>
      </c>
      <c r="N29" s="69">
        <f t="shared" si="20"/>
        <v>0</v>
      </c>
      <c r="O29" s="69">
        <f t="shared" si="20"/>
        <v>0</v>
      </c>
      <c r="P29" s="69">
        <f t="shared" si="20"/>
        <v>0</v>
      </c>
      <c r="Q29" s="69">
        <f>IF(AND(Q28&lt;0,R28&gt;0),Q$2+(-Q28/(-Q28+R28)),0)</f>
        <v>0</v>
      </c>
      <c r="R29" s="69">
        <f>IF(AND(R28&lt;0,S28&gt;0),R$2+(-R28/(-R28+S28)),0)</f>
        <v>0</v>
      </c>
      <c r="S29" s="69">
        <f>IF(AND(S28&lt;0,W28&gt;0),S$2+(-S28/(-S28+W28)),0)</f>
        <v>0</v>
      </c>
      <c r="T29" s="69">
        <f>IF(AND(T28&lt;0,X28&gt;0),T$2+(-T28/(-T28+X28)),0)</f>
        <v>0</v>
      </c>
      <c r="U29" s="69">
        <f>IF(AND(U28&lt;0,Y28&gt;0),U$2+(-U28/(-U28+Y28)),0)</f>
        <v>0</v>
      </c>
      <c r="V29" s="69">
        <f>IF(AND(V28&lt;0,Z28&gt;0),V$2+(-V28/(-V28+Z28)),0)</f>
        <v>0</v>
      </c>
      <c r="W29" s="70" t="s">
        <v>49</v>
      </c>
      <c r="X29" s="71">
        <f>MAX(B29:V29)</f>
        <v>0</v>
      </c>
    </row>
    <row r="30" spans="1:24" s="46" customFormat="1" ht="12.75" x14ac:dyDescent="0.2">
      <c r="A30" s="237" t="s">
        <v>84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73" t="s">
        <v>51</v>
      </c>
      <c r="X30" s="74" t="s">
        <v>82</v>
      </c>
    </row>
    <row r="44" spans="1:24" s="94" customFormat="1" x14ac:dyDescent="0.25">
      <c r="A44" s="405" t="s">
        <v>406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08"/>
      <c r="X44" s="408"/>
    </row>
    <row r="45" spans="1:24" s="94" customFormat="1" x14ac:dyDescent="0.25">
      <c r="A45" s="405" t="s">
        <v>407</v>
      </c>
      <c r="B45" s="408">
        <v>0</v>
      </c>
      <c r="C45" s="408">
        <f>B45+1</f>
        <v>1</v>
      </c>
      <c r="D45" s="408">
        <f t="shared" ref="D45:W45" si="21">C45+1</f>
        <v>2</v>
      </c>
      <c r="E45" s="408">
        <f t="shared" si="21"/>
        <v>3</v>
      </c>
      <c r="F45" s="408">
        <f t="shared" si="21"/>
        <v>4</v>
      </c>
      <c r="G45" s="408">
        <f t="shared" si="21"/>
        <v>5</v>
      </c>
      <c r="H45" s="408">
        <f t="shared" si="21"/>
        <v>6</v>
      </c>
      <c r="I45" s="408">
        <f t="shared" si="21"/>
        <v>7</v>
      </c>
      <c r="J45" s="408">
        <f t="shared" si="21"/>
        <v>8</v>
      </c>
      <c r="K45" s="408">
        <f t="shared" si="21"/>
        <v>9</v>
      </c>
      <c r="L45" s="408">
        <f t="shared" si="21"/>
        <v>10</v>
      </c>
      <c r="M45" s="408">
        <f t="shared" si="21"/>
        <v>11</v>
      </c>
      <c r="N45" s="408">
        <f t="shared" si="21"/>
        <v>12</v>
      </c>
      <c r="O45" s="408">
        <f t="shared" si="21"/>
        <v>13</v>
      </c>
      <c r="P45" s="408">
        <f t="shared" si="21"/>
        <v>14</v>
      </c>
      <c r="Q45" s="408">
        <f t="shared" si="21"/>
        <v>15</v>
      </c>
      <c r="R45" s="408">
        <f t="shared" si="21"/>
        <v>16</v>
      </c>
      <c r="S45" s="408">
        <f t="shared" si="21"/>
        <v>17</v>
      </c>
      <c r="T45" s="408">
        <f t="shared" si="21"/>
        <v>18</v>
      </c>
      <c r="U45" s="408">
        <f t="shared" si="21"/>
        <v>19</v>
      </c>
      <c r="V45" s="408">
        <f t="shared" si="21"/>
        <v>20</v>
      </c>
      <c r="W45" s="408">
        <f t="shared" si="21"/>
        <v>21</v>
      </c>
      <c r="X45" s="408"/>
    </row>
    <row r="46" spans="1:24" s="94" customFormat="1" x14ac:dyDescent="0.25">
      <c r="A46" s="405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08"/>
      <c r="X46" s="408"/>
    </row>
    <row r="47" spans="1:24" s="410" customFormat="1" ht="12" x14ac:dyDescent="0.2">
      <c r="A47" s="410" t="s">
        <v>408</v>
      </c>
      <c r="B47" s="413">
        <f>B22+B23+B24+B25+B26+B29</f>
        <v>1833.3333333333333</v>
      </c>
      <c r="C47" s="413">
        <f t="shared" ref="C47:V47" si="22">C22+C23+C24+C25+C26+C29</f>
        <v>3630.7189542483657</v>
      </c>
      <c r="D47" s="413">
        <f t="shared" si="22"/>
        <v>10785.723439702679</v>
      </c>
      <c r="E47" s="413">
        <f t="shared" si="22"/>
        <v>19633.767052893185</v>
      </c>
      <c r="F47" s="413">
        <f t="shared" si="22"/>
        <v>30141.652948177991</v>
      </c>
      <c r="G47" s="413">
        <f t="shared" si="22"/>
        <v>42276.835198457215</v>
      </c>
      <c r="H47" s="413">
        <f t="shared" si="22"/>
        <v>56007.406032064297</v>
      </c>
      <c r="I47" s="413">
        <f t="shared" si="22"/>
        <v>71302.083319914367</v>
      </c>
      <c r="J47" s="413">
        <f t="shared" si="22"/>
        <v>88130.198308002669</v>
      </c>
      <c r="K47" s="413">
        <f t="shared" si="22"/>
        <v>106596.35911702947</v>
      </c>
      <c r="L47" s="413">
        <f t="shared" si="22"/>
        <v>126525.60943819251</v>
      </c>
      <c r="M47" s="413">
        <f t="shared" si="22"/>
        <v>147939.26124184206</v>
      </c>
      <c r="N47" s="413">
        <f t="shared" si="22"/>
        <v>170808.2086165568</v>
      </c>
      <c r="O47" s="413">
        <f t="shared" si="22"/>
        <v>195103.916355061</v>
      </c>
      <c r="P47" s="413">
        <f t="shared" si="22"/>
        <v>220798.40876394697</v>
      </c>
      <c r="Q47" s="413">
        <f t="shared" si="22"/>
        <v>247864.25869281506</v>
      </c>
      <c r="R47" s="413">
        <f t="shared" si="22"/>
        <v>276274.5767785284</v>
      </c>
      <c r="S47" s="413">
        <f t="shared" si="22"/>
        <v>306003.0009003646</v>
      </c>
      <c r="T47" s="413">
        <f t="shared" si="22"/>
        <v>336972.68584192888</v>
      </c>
      <c r="U47" s="413">
        <f t="shared" si="22"/>
        <v>369260.29315577587</v>
      </c>
      <c r="V47" s="413">
        <f t="shared" si="22"/>
        <v>402789.98122676252</v>
      </c>
      <c r="W47" s="414" t="s">
        <v>82</v>
      </c>
      <c r="X47" s="413">
        <f>SUM(B47:W47)</f>
        <v>3230678.2787155975</v>
      </c>
    </row>
    <row r="48" spans="1:24" s="410" customFormat="1" ht="12" x14ac:dyDescent="0.2">
      <c r="A48" s="410" t="s">
        <v>409</v>
      </c>
      <c r="C48" s="413">
        <f>B30</f>
        <v>0</v>
      </c>
      <c r="D48" s="413">
        <f t="shared" ref="D48:W48" si="23">C30</f>
        <v>0</v>
      </c>
      <c r="E48" s="413">
        <f t="shared" si="23"/>
        <v>0</v>
      </c>
      <c r="F48" s="413">
        <f t="shared" si="23"/>
        <v>0</v>
      </c>
      <c r="G48" s="413">
        <f t="shared" si="23"/>
        <v>0</v>
      </c>
      <c r="H48" s="413">
        <f t="shared" si="23"/>
        <v>0</v>
      </c>
      <c r="I48" s="413">
        <f t="shared" si="23"/>
        <v>0</v>
      </c>
      <c r="J48" s="413">
        <f t="shared" si="23"/>
        <v>0</v>
      </c>
      <c r="K48" s="413">
        <f t="shared" si="23"/>
        <v>0</v>
      </c>
      <c r="L48" s="413">
        <f t="shared" si="23"/>
        <v>0</v>
      </c>
      <c r="M48" s="413">
        <f t="shared" si="23"/>
        <v>0</v>
      </c>
      <c r="N48" s="413">
        <f t="shared" si="23"/>
        <v>0</v>
      </c>
      <c r="O48" s="413">
        <f t="shared" si="23"/>
        <v>0</v>
      </c>
      <c r="P48" s="413">
        <f t="shared" si="23"/>
        <v>0</v>
      </c>
      <c r="Q48" s="413">
        <f t="shared" si="23"/>
        <v>0</v>
      </c>
      <c r="R48" s="413">
        <f t="shared" si="23"/>
        <v>0</v>
      </c>
      <c r="S48" s="413">
        <f t="shared" si="23"/>
        <v>0</v>
      </c>
      <c r="T48" s="413">
        <f t="shared" si="23"/>
        <v>0</v>
      </c>
      <c r="U48" s="413">
        <f t="shared" si="23"/>
        <v>0</v>
      </c>
      <c r="V48" s="413">
        <f t="shared" si="23"/>
        <v>0</v>
      </c>
      <c r="W48" s="413">
        <f t="shared" si="23"/>
        <v>0</v>
      </c>
      <c r="X48" s="413">
        <f>SUM(B48:W48)</f>
        <v>0</v>
      </c>
    </row>
    <row r="49" spans="1:24" s="410" customFormat="1" ht="12" x14ac:dyDescent="0.2">
      <c r="A49" s="410" t="s">
        <v>410</v>
      </c>
      <c r="B49" s="413">
        <f>B48-B47</f>
        <v>-1833.3333333333333</v>
      </c>
      <c r="C49" s="413">
        <f t="shared" ref="C49:V49" si="24">C48-C47</f>
        <v>-3630.7189542483657</v>
      </c>
      <c r="D49" s="413">
        <f t="shared" si="24"/>
        <v>-10785.723439702679</v>
      </c>
      <c r="E49" s="413">
        <f t="shared" si="24"/>
        <v>-19633.767052893185</v>
      </c>
      <c r="F49" s="413">
        <f t="shared" si="24"/>
        <v>-30141.652948177991</v>
      </c>
      <c r="G49" s="413">
        <f t="shared" si="24"/>
        <v>-42276.835198457215</v>
      </c>
      <c r="H49" s="413">
        <f t="shared" si="24"/>
        <v>-56007.406032064297</v>
      </c>
      <c r="I49" s="413">
        <f t="shared" si="24"/>
        <v>-71302.083319914367</v>
      </c>
      <c r="J49" s="413">
        <f t="shared" si="24"/>
        <v>-88130.198308002669</v>
      </c>
      <c r="K49" s="413">
        <f t="shared" si="24"/>
        <v>-106596.35911702947</v>
      </c>
      <c r="L49" s="413">
        <f t="shared" si="24"/>
        <v>-126525.60943819251</v>
      </c>
      <c r="M49" s="413">
        <f t="shared" si="24"/>
        <v>-147939.26124184206</v>
      </c>
      <c r="N49" s="413">
        <f t="shared" si="24"/>
        <v>-170808.2086165568</v>
      </c>
      <c r="O49" s="413">
        <f t="shared" si="24"/>
        <v>-195103.916355061</v>
      </c>
      <c r="P49" s="413">
        <f t="shared" si="24"/>
        <v>-220798.40876394697</v>
      </c>
      <c r="Q49" s="413">
        <f t="shared" si="24"/>
        <v>-247864.25869281506</v>
      </c>
      <c r="R49" s="413">
        <f t="shared" si="24"/>
        <v>-276274.5767785284</v>
      </c>
      <c r="S49" s="413">
        <f t="shared" si="24"/>
        <v>-306003.0009003646</v>
      </c>
      <c r="T49" s="413">
        <f t="shared" si="24"/>
        <v>-336972.68584192888</v>
      </c>
      <c r="U49" s="413">
        <f t="shared" si="24"/>
        <v>-369260.29315577587</v>
      </c>
      <c r="V49" s="413">
        <f t="shared" si="24"/>
        <v>-402789.98122676252</v>
      </c>
      <c r="W49" s="413">
        <v>0</v>
      </c>
      <c r="X49" s="413">
        <f>SUM(B49:W49)</f>
        <v>-3230678.2787155975</v>
      </c>
    </row>
    <row r="50" spans="1:24" s="417" customFormat="1" ht="9" x14ac:dyDescent="0.15">
      <c r="A50" s="417" t="s">
        <v>41</v>
      </c>
      <c r="B50" s="416">
        <f>B49</f>
        <v>-1833.3333333333333</v>
      </c>
      <c r="C50" s="416">
        <f>B50+C49</f>
        <v>-5464.0522875816987</v>
      </c>
      <c r="D50" s="416">
        <f t="shared" ref="D50:W50" si="25">C50+D49</f>
        <v>-16249.775727284377</v>
      </c>
      <c r="E50" s="416">
        <f t="shared" si="25"/>
        <v>-35883.542780177566</v>
      </c>
      <c r="F50" s="416">
        <f t="shared" si="25"/>
        <v>-66025.195728355553</v>
      </c>
      <c r="G50" s="416">
        <f t="shared" si="25"/>
        <v>-108302.03092681276</v>
      </c>
      <c r="H50" s="416">
        <f t="shared" si="25"/>
        <v>-164309.43695887705</v>
      </c>
      <c r="I50" s="416">
        <f t="shared" si="25"/>
        <v>-235611.52027879143</v>
      </c>
      <c r="J50" s="416">
        <f t="shared" si="25"/>
        <v>-323741.7185867941</v>
      </c>
      <c r="K50" s="416">
        <f t="shared" si="25"/>
        <v>-430338.07770382357</v>
      </c>
      <c r="L50" s="416">
        <f t="shared" si="25"/>
        <v>-556863.68714201613</v>
      </c>
      <c r="M50" s="416">
        <f t="shared" si="25"/>
        <v>-704802.94838385819</v>
      </c>
      <c r="N50" s="416">
        <f t="shared" si="25"/>
        <v>-875611.15700041503</v>
      </c>
      <c r="O50" s="416">
        <f t="shared" si="25"/>
        <v>-1070715.0733554759</v>
      </c>
      <c r="P50" s="416">
        <f t="shared" si="25"/>
        <v>-1291513.4821194229</v>
      </c>
      <c r="Q50" s="416">
        <f t="shared" si="25"/>
        <v>-1539377.7408122378</v>
      </c>
      <c r="R50" s="416">
        <f t="shared" si="25"/>
        <v>-1815652.3175907661</v>
      </c>
      <c r="S50" s="416">
        <f t="shared" si="25"/>
        <v>-2121655.3184911306</v>
      </c>
      <c r="T50" s="416">
        <f t="shared" si="25"/>
        <v>-2458628.0043330593</v>
      </c>
      <c r="U50" s="416">
        <f t="shared" si="25"/>
        <v>-2827888.2974888352</v>
      </c>
      <c r="V50" s="416">
        <f t="shared" si="25"/>
        <v>-3230678.2787155975</v>
      </c>
      <c r="W50" s="416">
        <f t="shared" si="25"/>
        <v>-3230678.2787155975</v>
      </c>
    </row>
    <row r="51" spans="1:24" s="415" customFormat="1" ht="12" x14ac:dyDescent="0.2">
      <c r="B51" s="415">
        <f>IF($C$52=B50,B$3,0)</f>
        <v>0</v>
      </c>
      <c r="C51" s="415">
        <f t="shared" ref="C51:W51" si="26">IF($C$52=C50,C$3,0)</f>
        <v>0</v>
      </c>
      <c r="D51" s="415">
        <f t="shared" si="26"/>
        <v>0</v>
      </c>
      <c r="E51" s="415">
        <f t="shared" si="26"/>
        <v>0</v>
      </c>
      <c r="F51" s="415">
        <f t="shared" si="26"/>
        <v>0</v>
      </c>
      <c r="G51" s="415">
        <f t="shared" si="26"/>
        <v>0</v>
      </c>
      <c r="H51" s="415">
        <f t="shared" si="26"/>
        <v>0</v>
      </c>
      <c r="I51" s="415">
        <f t="shared" si="26"/>
        <v>0</v>
      </c>
      <c r="J51" s="415">
        <f t="shared" si="26"/>
        <v>0</v>
      </c>
      <c r="K51" s="415">
        <f t="shared" si="26"/>
        <v>0</v>
      </c>
      <c r="L51" s="415">
        <f t="shared" si="26"/>
        <v>0</v>
      </c>
      <c r="M51" s="415">
        <f t="shared" si="26"/>
        <v>0</v>
      </c>
      <c r="N51" s="415">
        <f t="shared" si="26"/>
        <v>0</v>
      </c>
      <c r="O51" s="415">
        <f t="shared" si="26"/>
        <v>0</v>
      </c>
      <c r="P51" s="415">
        <f t="shared" si="26"/>
        <v>0</v>
      </c>
      <c r="Q51" s="415">
        <f t="shared" si="26"/>
        <v>0</v>
      </c>
      <c r="R51" s="415">
        <f t="shared" si="26"/>
        <v>0</v>
      </c>
      <c r="S51" s="415">
        <f t="shared" si="26"/>
        <v>0</v>
      </c>
      <c r="T51" s="415">
        <f t="shared" si="26"/>
        <v>0</v>
      </c>
      <c r="U51" s="415">
        <f t="shared" si="26"/>
        <v>0</v>
      </c>
      <c r="V51" s="415">
        <f t="shared" si="26"/>
        <v>0</v>
      </c>
      <c r="W51" s="415">
        <f t="shared" si="26"/>
        <v>0</v>
      </c>
    </row>
    <row r="52" spans="1:24" s="410" customFormat="1" ht="12" x14ac:dyDescent="0.2">
      <c r="A52" s="410" t="s">
        <v>411</v>
      </c>
      <c r="C52" s="416">
        <f>MIN(B50:W50)</f>
        <v>-3230678.2787155975</v>
      </c>
      <c r="E52" s="410" t="s">
        <v>413</v>
      </c>
      <c r="G52" s="410">
        <f>MAX(B51:W51)</f>
        <v>0</v>
      </c>
      <c r="H52" s="410" t="s">
        <v>414</v>
      </c>
    </row>
    <row r="53" spans="1:24" s="410" customFormat="1" ht="12" x14ac:dyDescent="0.2">
      <c r="A53" s="410" t="s">
        <v>412</v>
      </c>
      <c r="C53" s="410">
        <f>-C52*1.2</f>
        <v>3876813.9344587168</v>
      </c>
      <c r="E53" s="410" t="s">
        <v>415</v>
      </c>
    </row>
  </sheetData>
  <pageMargins left="0.37" right="0.38" top="0.38" bottom="0.74803149606299213" header="0.33" footer="0.31496062992125984"/>
  <pageSetup paperSize="9" scale="73" fitToHeight="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2" sqref="F2"/>
    </sheetView>
  </sheetViews>
  <sheetFormatPr defaultRowHeight="15" x14ac:dyDescent="0.25"/>
  <cols>
    <col min="1" max="1" width="70.140625" customWidth="1"/>
    <col min="2" max="2" width="12.7109375" customWidth="1"/>
    <col min="3" max="3" width="46.28515625" customWidth="1"/>
    <col min="4" max="4" width="21.85546875" customWidth="1"/>
    <col min="5" max="5" width="14.28515625" customWidth="1"/>
  </cols>
  <sheetData>
    <row r="1" spans="1:6" x14ac:dyDescent="0.25">
      <c r="A1" s="77" t="s">
        <v>62</v>
      </c>
      <c r="B1" s="78">
        <v>7.4999999999999997E-2</v>
      </c>
      <c r="C1" s="77" t="s">
        <v>54</v>
      </c>
    </row>
    <row r="2" spans="1:6" ht="45" x14ac:dyDescent="0.25">
      <c r="A2" s="77" t="s">
        <v>53</v>
      </c>
      <c r="B2" s="79">
        <v>0.04</v>
      </c>
      <c r="C2" s="54" t="s">
        <v>56</v>
      </c>
      <c r="F2" s="76" t="s">
        <v>55</v>
      </c>
    </row>
    <row r="3" spans="1:6" ht="45" x14ac:dyDescent="0.25">
      <c r="A3" s="77" t="s">
        <v>63</v>
      </c>
      <c r="B3" s="78">
        <v>7.3999999999999996E-2</v>
      </c>
      <c r="C3" s="54" t="s">
        <v>56</v>
      </c>
    </row>
    <row r="4" spans="1:6" x14ac:dyDescent="0.25">
      <c r="A4" s="81" t="s">
        <v>57</v>
      </c>
      <c r="B4" s="80">
        <f>(1+B1)/(1+B2)-1</f>
        <v>3.3653846153846034E-2</v>
      </c>
      <c r="C4" s="77" t="s">
        <v>58</v>
      </c>
    </row>
    <row r="5" spans="1:6" x14ac:dyDescent="0.25">
      <c r="A5" s="77"/>
      <c r="B5" s="80">
        <f>(1+B1)/(1+B3)-1</f>
        <v>9.3109869646168519E-4</v>
      </c>
      <c r="C5" s="77" t="s">
        <v>59</v>
      </c>
    </row>
    <row r="6" spans="1:6" x14ac:dyDescent="0.25">
      <c r="A6" s="77"/>
      <c r="B6" s="80">
        <f>(B4+B5)/2</f>
        <v>1.729247242515386E-2</v>
      </c>
      <c r="C6" s="77" t="s">
        <v>60</v>
      </c>
    </row>
    <row r="7" spans="1:6" ht="15.75" thickBot="1" x14ac:dyDescent="0.3">
      <c r="A7" s="82"/>
      <c r="B7" s="83">
        <f>ROUND(B6,2)</f>
        <v>0.02</v>
      </c>
      <c r="C7" s="82" t="s">
        <v>61</v>
      </c>
    </row>
    <row r="8" spans="1:6" x14ac:dyDescent="0.25">
      <c r="A8" s="546" t="s">
        <v>64</v>
      </c>
      <c r="B8" s="547"/>
      <c r="C8" s="91">
        <v>18</v>
      </c>
    </row>
    <row r="9" spans="1:6" x14ac:dyDescent="0.25">
      <c r="A9" s="548" t="s">
        <v>65</v>
      </c>
      <c r="B9" s="549"/>
      <c r="C9" s="85" t="s">
        <v>72</v>
      </c>
    </row>
    <row r="10" spans="1:6" ht="15.75" thickBot="1" x14ac:dyDescent="0.3">
      <c r="A10" s="550" t="s">
        <v>74</v>
      </c>
      <c r="B10" s="551"/>
      <c r="C10" s="92" t="s">
        <v>73</v>
      </c>
    </row>
    <row r="11" spans="1:6" x14ac:dyDescent="0.25">
      <c r="A11" s="552" t="s">
        <v>66</v>
      </c>
      <c r="B11" s="553"/>
      <c r="C11" s="84">
        <f>C8</f>
        <v>18</v>
      </c>
    </row>
    <row r="12" spans="1:6" x14ac:dyDescent="0.25">
      <c r="A12" s="554" t="s">
        <v>68</v>
      </c>
      <c r="B12" s="555"/>
      <c r="C12" s="86" t="s">
        <v>69</v>
      </c>
    </row>
    <row r="13" spans="1:6" ht="28.9" customHeight="1" x14ac:dyDescent="0.25">
      <c r="A13" s="556" t="s">
        <v>67</v>
      </c>
      <c r="B13" s="557"/>
      <c r="C13" s="86" t="s">
        <v>70</v>
      </c>
    </row>
    <row r="14" spans="1:6" ht="28.15" customHeight="1" thickBot="1" x14ac:dyDescent="0.3">
      <c r="A14" s="544" t="s">
        <v>75</v>
      </c>
      <c r="B14" s="545"/>
      <c r="C14" s="87" t="s">
        <v>71</v>
      </c>
    </row>
  </sheetData>
  <mergeCells count="7">
    <mergeCell ref="A14:B14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workbookViewId="0">
      <pane xSplit="1" ySplit="2" topLeftCell="W36" activePane="bottomRight" state="frozen"/>
      <selection pane="topRight" activeCell="B1" sqref="B1"/>
      <selection pane="bottomLeft" activeCell="A3" sqref="A3"/>
      <selection pane="bottomRight" activeCell="X19" sqref="X19"/>
    </sheetView>
  </sheetViews>
  <sheetFormatPr defaultRowHeight="15" x14ac:dyDescent="0.25"/>
  <cols>
    <col min="1" max="1" width="24.7109375" customWidth="1"/>
    <col min="6" max="9" width="7" style="48" customWidth="1"/>
    <col min="10" max="11" width="8.7109375" customWidth="1"/>
    <col min="12" max="15" width="7.140625" style="48" customWidth="1"/>
    <col min="16" max="22" width="10.42578125" customWidth="1"/>
    <col min="23" max="23" width="11.42578125" customWidth="1"/>
    <col min="24" max="24" width="14.28515625" bestFit="1" customWidth="1"/>
  </cols>
  <sheetData>
    <row r="1" spans="1:27" ht="18.75" x14ac:dyDescent="0.3">
      <c r="A1" s="34" t="s">
        <v>432</v>
      </c>
      <c r="B1" s="21"/>
      <c r="C1" s="21"/>
      <c r="D1" s="21"/>
      <c r="E1" s="21"/>
      <c r="F1" s="144"/>
      <c r="J1" s="21"/>
      <c r="K1" s="21"/>
      <c r="P1" s="37"/>
      <c r="Q1" s="37"/>
      <c r="R1" s="37"/>
      <c r="S1" s="37"/>
      <c r="T1" s="37"/>
      <c r="U1" s="37"/>
      <c r="V1" s="37"/>
      <c r="W1" s="65" t="s">
        <v>38</v>
      </c>
      <c r="X1" s="66">
        <v>0.02</v>
      </c>
    </row>
    <row r="2" spans="1:27" ht="18.75" x14ac:dyDescent="0.3">
      <c r="A2" s="38"/>
      <c r="B2" s="203">
        <v>1</v>
      </c>
      <c r="C2" s="203">
        <f>B2+1</f>
        <v>2</v>
      </c>
      <c r="D2" s="203">
        <f t="shared" ref="D2:V2" si="0">C2+1</f>
        <v>3</v>
      </c>
      <c r="E2" s="466">
        <f t="shared" si="0"/>
        <v>4</v>
      </c>
      <c r="F2" s="465">
        <f t="shared" si="0"/>
        <v>5</v>
      </c>
      <c r="G2" s="465">
        <f t="shared" si="0"/>
        <v>6</v>
      </c>
      <c r="H2" s="465">
        <f t="shared" si="0"/>
        <v>7</v>
      </c>
      <c r="I2" s="465">
        <f t="shared" si="0"/>
        <v>8</v>
      </c>
      <c r="J2" s="467">
        <f t="shared" si="0"/>
        <v>9</v>
      </c>
      <c r="K2" s="466">
        <f t="shared" si="0"/>
        <v>10</v>
      </c>
      <c r="L2" s="465">
        <f t="shared" si="0"/>
        <v>11</v>
      </c>
      <c r="M2" s="465">
        <f t="shared" si="0"/>
        <v>12</v>
      </c>
      <c r="N2" s="472">
        <f t="shared" si="0"/>
        <v>13</v>
      </c>
      <c r="O2" s="472">
        <f t="shared" si="0"/>
        <v>14</v>
      </c>
      <c r="P2" s="473">
        <f t="shared" si="0"/>
        <v>15</v>
      </c>
      <c r="Q2" s="205">
        <f t="shared" si="0"/>
        <v>16</v>
      </c>
      <c r="R2" s="206">
        <f t="shared" si="0"/>
        <v>17</v>
      </c>
      <c r="S2" s="206">
        <f t="shared" si="0"/>
        <v>18</v>
      </c>
      <c r="T2" s="207">
        <f t="shared" si="0"/>
        <v>19</v>
      </c>
      <c r="U2" s="207">
        <f t="shared" si="0"/>
        <v>20</v>
      </c>
      <c r="V2" s="207">
        <f t="shared" si="0"/>
        <v>21</v>
      </c>
      <c r="W2" s="39" t="s">
        <v>39</v>
      </c>
      <c r="X2" s="328" t="s">
        <v>40</v>
      </c>
      <c r="Y2" s="438" t="s">
        <v>436</v>
      </c>
    </row>
    <row r="3" spans="1:27" ht="18.75" x14ac:dyDescent="0.3">
      <c r="A3" s="459" t="s">
        <v>437</v>
      </c>
      <c r="B3" s="440"/>
      <c r="C3" s="440"/>
      <c r="D3" s="440"/>
      <c r="E3" s="440"/>
      <c r="F3" s="465"/>
      <c r="G3" s="465"/>
      <c r="H3" s="465"/>
      <c r="I3" s="465"/>
      <c r="J3" s="440"/>
      <c r="K3" s="440"/>
      <c r="L3" s="465"/>
      <c r="M3" s="465"/>
      <c r="N3" s="472"/>
      <c r="O3" s="472"/>
      <c r="P3" s="441"/>
      <c r="Q3" s="441"/>
      <c r="R3" s="442"/>
      <c r="S3" s="442"/>
      <c r="T3" s="443"/>
      <c r="U3" s="443"/>
      <c r="V3" s="443"/>
      <c r="W3" s="444"/>
      <c r="X3" s="445"/>
      <c r="Y3" s="438"/>
    </row>
    <row r="4" spans="1:27" ht="30" x14ac:dyDescent="0.3">
      <c r="A4" s="434" t="s">
        <v>301</v>
      </c>
      <c r="B4" s="435">
        <f>SUM(B5:B7)</f>
        <v>1865603</v>
      </c>
      <c r="C4" s="435">
        <f t="shared" ref="C4:V4" si="1">SUM(C5:C7)</f>
        <v>1865603</v>
      </c>
      <c r="D4" s="435">
        <f t="shared" si="1"/>
        <v>1865603</v>
      </c>
      <c r="E4" s="435">
        <f t="shared" si="1"/>
        <v>1865603</v>
      </c>
      <c r="F4" s="468">
        <f t="shared" si="1"/>
        <v>1865603</v>
      </c>
      <c r="G4" s="468">
        <f t="shared" si="1"/>
        <v>1865603</v>
      </c>
      <c r="H4" s="468">
        <f t="shared" si="1"/>
        <v>1865603</v>
      </c>
      <c r="I4" s="468">
        <f t="shared" si="1"/>
        <v>1865603</v>
      </c>
      <c r="J4" s="435">
        <f t="shared" si="1"/>
        <v>1865603</v>
      </c>
      <c r="K4" s="435">
        <f t="shared" si="1"/>
        <v>1865603</v>
      </c>
      <c r="L4" s="468">
        <f t="shared" si="1"/>
        <v>1865603</v>
      </c>
      <c r="M4" s="468">
        <f t="shared" si="1"/>
        <v>1865603</v>
      </c>
      <c r="N4" s="468">
        <f t="shared" si="1"/>
        <v>1866512</v>
      </c>
      <c r="O4" s="468">
        <f t="shared" si="1"/>
        <v>1866512</v>
      </c>
      <c r="P4" s="435">
        <f t="shared" si="1"/>
        <v>1869993.7</v>
      </c>
      <c r="Q4" s="435">
        <f t="shared" si="1"/>
        <v>1870000</v>
      </c>
      <c r="R4" s="435">
        <f t="shared" si="1"/>
        <v>1869200</v>
      </c>
      <c r="S4" s="435">
        <f t="shared" si="1"/>
        <v>1869200</v>
      </c>
      <c r="T4" s="435">
        <f t="shared" si="1"/>
        <v>1929500</v>
      </c>
      <c r="U4" s="435">
        <f t="shared" si="1"/>
        <v>1929500</v>
      </c>
      <c r="V4" s="435">
        <f t="shared" si="1"/>
        <v>1929500</v>
      </c>
      <c r="W4" s="435">
        <f t="shared" ref="W4:W15" si="2">SUM(B4:V4)</f>
        <v>39387153.700000003</v>
      </c>
      <c r="X4" s="437">
        <f>NPV($X$1,B4:V4)</f>
        <v>31878126.497961242</v>
      </c>
      <c r="Y4" s="439" t="str">
        <f>IF(ISERROR(IRR(B4:V4)),"Не существует",IRR(B4:V4))</f>
        <v>Не существует</v>
      </c>
    </row>
    <row r="5" spans="1:27" ht="18.75" x14ac:dyDescent="0.3">
      <c r="A5" s="433" t="s">
        <v>433</v>
      </c>
      <c r="B5" s="215">
        <f>'1сел'!B13</f>
        <v>-4397</v>
      </c>
      <c r="C5" s="215">
        <f>'1сел'!C13</f>
        <v>-4397</v>
      </c>
      <c r="D5" s="215">
        <f>'1сел'!D13</f>
        <v>-4397</v>
      </c>
      <c r="E5" s="215">
        <f>'1сел'!E13</f>
        <v>-4397</v>
      </c>
      <c r="F5" s="224">
        <f>'1сел'!F13</f>
        <v>-4397</v>
      </c>
      <c r="G5" s="224">
        <f>'1сел'!G13</f>
        <v>-4397</v>
      </c>
      <c r="H5" s="224">
        <f>'1сел'!H13</f>
        <v>-4397</v>
      </c>
      <c r="I5" s="224">
        <f>'1сел'!I13</f>
        <v>-4397</v>
      </c>
      <c r="J5" s="215">
        <f>'1сел'!J13</f>
        <v>-4397</v>
      </c>
      <c r="K5" s="215">
        <f>'1сел'!K13</f>
        <v>-4397</v>
      </c>
      <c r="L5" s="224">
        <f>'1сел'!L13</f>
        <v>-4397</v>
      </c>
      <c r="M5" s="224">
        <f>'1сел'!M13</f>
        <v>-4397</v>
      </c>
      <c r="N5" s="224">
        <f>'1сел'!N13</f>
        <v>-3488</v>
      </c>
      <c r="O5" s="224">
        <f>'1сел'!O13</f>
        <v>-3488</v>
      </c>
      <c r="P5" s="215">
        <f>'1сел'!P13</f>
        <v>-6.3</v>
      </c>
      <c r="Q5" s="215">
        <f>'1сел'!Q13</f>
        <v>0</v>
      </c>
      <c r="R5" s="215">
        <f>'1сел'!R13</f>
        <v>0</v>
      </c>
      <c r="S5" s="215">
        <f>'1сел'!S13</f>
        <v>-2040</v>
      </c>
      <c r="T5" s="215">
        <f>'1сел'!T13</f>
        <v>8500</v>
      </c>
      <c r="U5" s="215">
        <f>'1сел'!U13</f>
        <v>8500</v>
      </c>
      <c r="V5" s="215">
        <f>'1сел'!V13</f>
        <v>8500</v>
      </c>
      <c r="W5" s="436">
        <f t="shared" si="2"/>
        <v>-36286.300000000003</v>
      </c>
      <c r="X5" s="437">
        <f>NPV($X$1,B5:V5)</f>
        <v>-36109.574767312348</v>
      </c>
      <c r="Y5" s="439">
        <f t="shared" ref="Y5:Y15" si="3">IF(ISERROR(IRR(B5:V5)),"Не существует",IRR(B5:V5))</f>
        <v>-7.33080920037531E-2</v>
      </c>
      <c r="AA5" t="str">
        <f>A5</f>
        <v>Участник 1 - Селекционер</v>
      </c>
    </row>
    <row r="6" spans="1:27" ht="18.75" x14ac:dyDescent="0.3">
      <c r="A6" t="s">
        <v>434</v>
      </c>
      <c r="B6" s="215">
        <f>'2сем'!B13</f>
        <v>0</v>
      </c>
      <c r="C6" s="215">
        <f>'2сем'!C13</f>
        <v>0</v>
      </c>
      <c r="D6" s="215">
        <f>'2сем'!D13</f>
        <v>0</v>
      </c>
      <c r="E6" s="215">
        <f>'2сем'!E13</f>
        <v>0</v>
      </c>
      <c r="F6" s="224">
        <f>'2сем'!F13</f>
        <v>0</v>
      </c>
      <c r="G6" s="224">
        <f>'2сем'!G13</f>
        <v>0</v>
      </c>
      <c r="H6" s="224">
        <f>'2сем'!H13</f>
        <v>0</v>
      </c>
      <c r="I6" s="224">
        <f>'2сем'!I13</f>
        <v>0</v>
      </c>
      <c r="J6" s="215">
        <f>'2сем'!J13</f>
        <v>0</v>
      </c>
      <c r="K6" s="215">
        <f>'2сем'!K13</f>
        <v>0</v>
      </c>
      <c r="L6" s="224">
        <f>'2сем'!L13</f>
        <v>0</v>
      </c>
      <c r="M6" s="224">
        <f>'2сем'!M13</f>
        <v>0</v>
      </c>
      <c r="N6" s="224">
        <f>'2сем'!N13</f>
        <v>0</v>
      </c>
      <c r="O6" s="224">
        <f>'2сем'!O13</f>
        <v>0</v>
      </c>
      <c r="P6" s="215">
        <f>'2сем'!P13</f>
        <v>0</v>
      </c>
      <c r="Q6" s="215">
        <f>'2сем'!Q13</f>
        <v>0</v>
      </c>
      <c r="R6" s="215">
        <f>'2сем'!R13</f>
        <v>-800.00000000000011</v>
      </c>
      <c r="S6" s="215">
        <f>'2сем'!S13</f>
        <v>1240</v>
      </c>
      <c r="T6" s="215">
        <f>'2сем'!T13</f>
        <v>0</v>
      </c>
      <c r="U6" s="215">
        <f>'2сем'!U13</f>
        <v>0</v>
      </c>
      <c r="V6" s="215">
        <f>'2сем'!V13</f>
        <v>0</v>
      </c>
      <c r="W6" s="436">
        <f t="shared" si="2"/>
        <v>439.99999999999989</v>
      </c>
      <c r="X6" s="437">
        <f>NPV($X$1,B6:V6)</f>
        <v>296.86757498542408</v>
      </c>
      <c r="Y6" s="439">
        <f t="shared" si="3"/>
        <v>0.54999999999999982</v>
      </c>
      <c r="AA6" t="str">
        <f t="shared" ref="AA6:AA20" si="4">A6</f>
        <v>Участник 2 - Семеновод</v>
      </c>
    </row>
    <row r="7" spans="1:27" ht="18.75" x14ac:dyDescent="0.3">
      <c r="A7" t="s">
        <v>435</v>
      </c>
      <c r="B7" s="215">
        <f>'3товар'!B7*1000</f>
        <v>1870000</v>
      </c>
      <c r="C7" s="215">
        <f>'3товар'!C7*1000</f>
        <v>1870000</v>
      </c>
      <c r="D7" s="215">
        <f>'3товар'!D7*1000</f>
        <v>1870000</v>
      </c>
      <c r="E7" s="215">
        <f>'3товар'!E7*1000</f>
        <v>1870000</v>
      </c>
      <c r="F7" s="224">
        <f>'3товар'!F7*1000</f>
        <v>1870000</v>
      </c>
      <c r="G7" s="224">
        <f>'3товар'!G7*1000</f>
        <v>1870000</v>
      </c>
      <c r="H7" s="224">
        <f>'3товар'!H7*1000</f>
        <v>1870000</v>
      </c>
      <c r="I7" s="224">
        <f>'3товар'!I7*1000</f>
        <v>1870000</v>
      </c>
      <c r="J7" s="215">
        <f>'3товар'!J7*1000</f>
        <v>1870000</v>
      </c>
      <c r="K7" s="215">
        <f>'3товар'!K7*1000</f>
        <v>1870000</v>
      </c>
      <c r="L7" s="224">
        <f>'3товар'!L7*1000</f>
        <v>1870000</v>
      </c>
      <c r="M7" s="224">
        <f>'3товар'!M7*1000</f>
        <v>1870000</v>
      </c>
      <c r="N7" s="224">
        <f>'3товар'!N7*1000</f>
        <v>1870000</v>
      </c>
      <c r="O7" s="224">
        <f>'3товар'!O7*1000</f>
        <v>1870000</v>
      </c>
      <c r="P7" s="215">
        <f>'3товар'!P7*1000</f>
        <v>1870000</v>
      </c>
      <c r="Q7" s="215">
        <f>'3товар'!Q7*1000</f>
        <v>1870000</v>
      </c>
      <c r="R7" s="215">
        <f>'3товар'!R7*1000</f>
        <v>1870000</v>
      </c>
      <c r="S7" s="215">
        <f>'3товар'!S7*1000</f>
        <v>1870000</v>
      </c>
      <c r="T7" s="215">
        <f>'3товар'!T7*1000</f>
        <v>1921000</v>
      </c>
      <c r="U7" s="215">
        <f>'3товар'!U7*1000</f>
        <v>1921000</v>
      </c>
      <c r="V7" s="215">
        <f>'3товар'!V7*1000</f>
        <v>1921000</v>
      </c>
      <c r="W7" s="436">
        <f t="shared" si="2"/>
        <v>39423000</v>
      </c>
      <c r="X7" s="437">
        <f>NPV($X$1,B7:V7)</f>
        <v>31913939.205153566</v>
      </c>
      <c r="Y7" s="439" t="str">
        <f t="shared" si="3"/>
        <v>Не существует</v>
      </c>
      <c r="AA7" t="str">
        <f t="shared" si="4"/>
        <v>Участник 3- Товарное овощеводство</v>
      </c>
    </row>
    <row r="8" spans="1:27" ht="30" x14ac:dyDescent="0.3">
      <c r="A8" s="434" t="s">
        <v>309</v>
      </c>
      <c r="B8" s="435">
        <f>SUM(B9:B11)</f>
        <v>1858000</v>
      </c>
      <c r="C8" s="435">
        <f t="shared" ref="C8:V8" si="5">SUM(C9:C11)</f>
        <v>1866928</v>
      </c>
      <c r="D8" s="435">
        <f t="shared" si="5"/>
        <v>1865603</v>
      </c>
      <c r="E8" s="435">
        <f t="shared" si="5"/>
        <v>1865603</v>
      </c>
      <c r="F8" s="468">
        <f t="shared" si="5"/>
        <v>1869944</v>
      </c>
      <c r="G8" s="468">
        <f t="shared" si="5"/>
        <v>1869993.7</v>
      </c>
      <c r="H8" s="468">
        <f t="shared" si="5"/>
        <v>1870000</v>
      </c>
      <c r="I8" s="468">
        <f t="shared" si="5"/>
        <v>1869200</v>
      </c>
      <c r="J8" s="435">
        <f t="shared" si="5"/>
        <v>1869200</v>
      </c>
      <c r="K8" s="435">
        <f t="shared" si="5"/>
        <v>1929500</v>
      </c>
      <c r="L8" s="468">
        <f t="shared" si="5"/>
        <v>1928700</v>
      </c>
      <c r="M8" s="468">
        <f t="shared" si="5"/>
        <v>1928700</v>
      </c>
      <c r="N8" s="468">
        <f t="shared" si="5"/>
        <v>1929500</v>
      </c>
      <c r="O8" s="468">
        <f t="shared" si="5"/>
        <v>1928700</v>
      </c>
      <c r="P8" s="435">
        <f t="shared" si="5"/>
        <v>1928700</v>
      </c>
      <c r="Q8" s="435">
        <f t="shared" si="5"/>
        <v>1929500</v>
      </c>
      <c r="R8" s="435">
        <f t="shared" si="5"/>
        <v>1928700</v>
      </c>
      <c r="S8" s="435">
        <f t="shared" si="5"/>
        <v>1928700</v>
      </c>
      <c r="T8" s="435">
        <f t="shared" si="5"/>
        <v>1929500</v>
      </c>
      <c r="U8" s="435">
        <f t="shared" si="5"/>
        <v>1929500</v>
      </c>
      <c r="V8" s="435">
        <f t="shared" si="5"/>
        <v>1929500</v>
      </c>
      <c r="W8" s="435">
        <f t="shared" si="2"/>
        <v>39953671.700000003</v>
      </c>
      <c r="X8" s="437">
        <f t="shared" ref="X8:X15" si="6">NPV($X$1,B8:V8)</f>
        <v>32309537.150832415</v>
      </c>
      <c r="Y8" s="439" t="str">
        <f t="shared" si="3"/>
        <v>Не существует</v>
      </c>
      <c r="AA8" t="str">
        <f t="shared" si="4"/>
        <v>Чистые выгоды "c проектом"</v>
      </c>
    </row>
    <row r="9" spans="1:27" ht="18.75" x14ac:dyDescent="0.3">
      <c r="A9" s="433" t="s">
        <v>433</v>
      </c>
      <c r="B9" s="215">
        <f>'1сел'!B32</f>
        <v>-12000</v>
      </c>
      <c r="C9" s="215">
        <f>'1сел'!C32</f>
        <v>-3072</v>
      </c>
      <c r="D9" s="215">
        <f>'1сел'!D32</f>
        <v>-4397</v>
      </c>
      <c r="E9" s="215">
        <f>'1сел'!E32</f>
        <v>-4397</v>
      </c>
      <c r="F9" s="224">
        <f>'1сел'!F32</f>
        <v>-56</v>
      </c>
      <c r="G9" s="224">
        <f>'1сел'!G32</f>
        <v>-6.3</v>
      </c>
      <c r="H9" s="224">
        <f>'1сел'!H32</f>
        <v>0</v>
      </c>
      <c r="I9" s="224">
        <f>'1сел'!I32</f>
        <v>0</v>
      </c>
      <c r="J9" s="215">
        <f>'1сел'!J32</f>
        <v>-2040</v>
      </c>
      <c r="K9" s="215">
        <f>'1сел'!K32</f>
        <v>8500</v>
      </c>
      <c r="L9" s="224">
        <f>'1сел'!L32</f>
        <v>8500</v>
      </c>
      <c r="M9" s="224">
        <f>'1сел'!M32</f>
        <v>6460</v>
      </c>
      <c r="N9" s="224">
        <f>'1сел'!N32</f>
        <v>8500</v>
      </c>
      <c r="O9" s="224">
        <f>'1сел'!O32</f>
        <v>8500</v>
      </c>
      <c r="P9" s="215">
        <f>'1сел'!P32</f>
        <v>6460</v>
      </c>
      <c r="Q9" s="215">
        <f>'1сел'!Q32</f>
        <v>8500</v>
      </c>
      <c r="R9" s="215">
        <f>'1сел'!R32</f>
        <v>8500</v>
      </c>
      <c r="S9" s="215">
        <f>'1сел'!S32</f>
        <v>6460</v>
      </c>
      <c r="T9" s="215">
        <f>'1сел'!T32</f>
        <v>8500</v>
      </c>
      <c r="U9" s="215">
        <f>'1сел'!U32</f>
        <v>8500</v>
      </c>
      <c r="V9" s="215">
        <f>'1сел'!V32</f>
        <v>8500</v>
      </c>
      <c r="W9" s="436">
        <f t="shared" si="2"/>
        <v>69911.7</v>
      </c>
      <c r="X9" s="437">
        <f t="shared" si="6"/>
        <v>45977.41270623295</v>
      </c>
      <c r="Y9" s="439">
        <f t="shared" si="3"/>
        <v>0.11001025225299221</v>
      </c>
      <c r="AA9" t="str">
        <f t="shared" si="4"/>
        <v>Участник 1 - Селекционер</v>
      </c>
    </row>
    <row r="10" spans="1:27" ht="18.75" x14ac:dyDescent="0.3">
      <c r="A10" t="s">
        <v>434</v>
      </c>
      <c r="B10" s="215">
        <f>'2сем'!B32</f>
        <v>0</v>
      </c>
      <c r="C10" s="215">
        <f>'2сем'!C32</f>
        <v>0</v>
      </c>
      <c r="D10" s="215">
        <f>'2сем'!D32</f>
        <v>0</v>
      </c>
      <c r="E10" s="215">
        <f>'2сем'!E32</f>
        <v>0</v>
      </c>
      <c r="F10" s="224">
        <f>'2сем'!F32</f>
        <v>0</v>
      </c>
      <c r="G10" s="224">
        <f>'2сем'!G32</f>
        <v>0</v>
      </c>
      <c r="H10" s="224">
        <f>'2сем'!H32</f>
        <v>0</v>
      </c>
      <c r="I10" s="224">
        <f>'2сем'!I32</f>
        <v>-800.00000000000011</v>
      </c>
      <c r="J10" s="215">
        <f>'2сем'!J32</f>
        <v>1240</v>
      </c>
      <c r="K10" s="215">
        <f>'2сем'!K32</f>
        <v>0</v>
      </c>
      <c r="L10" s="224">
        <f>'2сем'!L32</f>
        <v>-800.00000000000011</v>
      </c>
      <c r="M10" s="224">
        <f>'2сем'!M32</f>
        <v>1240</v>
      </c>
      <c r="N10" s="224">
        <f>'2сем'!N32</f>
        <v>0</v>
      </c>
      <c r="O10" s="224">
        <f>'2сем'!O32</f>
        <v>-800.00000000000011</v>
      </c>
      <c r="P10" s="215">
        <f>'2сем'!P32</f>
        <v>1240</v>
      </c>
      <c r="Q10" s="215">
        <f>'2сем'!Q32</f>
        <v>0</v>
      </c>
      <c r="R10" s="215">
        <f>'2сем'!R32</f>
        <v>-800.00000000000011</v>
      </c>
      <c r="S10" s="215">
        <f>'2сем'!S32</f>
        <v>1240</v>
      </c>
      <c r="T10" s="215">
        <f>'2сем'!T32</f>
        <v>0</v>
      </c>
      <c r="U10" s="215">
        <f>'2сем'!U32</f>
        <v>0</v>
      </c>
      <c r="V10" s="215">
        <f>'2сем'!V32</f>
        <v>0</v>
      </c>
      <c r="W10" s="436">
        <f t="shared" si="2"/>
        <v>1759.9999999999995</v>
      </c>
      <c r="X10" s="437">
        <f t="shared" si="6"/>
        <v>1301.0111596771853</v>
      </c>
      <c r="Y10" s="439">
        <f t="shared" si="3"/>
        <v>0.55000000000000004</v>
      </c>
      <c r="AA10" t="str">
        <f t="shared" si="4"/>
        <v>Участник 2 - Семеновод</v>
      </c>
    </row>
    <row r="11" spans="1:27" ht="18.75" x14ac:dyDescent="0.3">
      <c r="A11" t="s">
        <v>435</v>
      </c>
      <c r="B11" s="215">
        <f>'3товар'!B18*1000</f>
        <v>1870000</v>
      </c>
      <c r="C11" s="215">
        <f>'3товар'!C18*1000</f>
        <v>1870000</v>
      </c>
      <c r="D11" s="215">
        <f>'3товар'!D18*1000</f>
        <v>1870000</v>
      </c>
      <c r="E11" s="215">
        <f>'3товар'!E18*1000</f>
        <v>1870000</v>
      </c>
      <c r="F11" s="224">
        <f>'3товар'!F18*1000</f>
        <v>1870000</v>
      </c>
      <c r="G11" s="224">
        <f>'3товар'!G18*1000</f>
        <v>1870000</v>
      </c>
      <c r="H11" s="224">
        <f>'3товар'!H18*1000</f>
        <v>1870000</v>
      </c>
      <c r="I11" s="224">
        <f>'3товар'!I18*1000</f>
        <v>1870000</v>
      </c>
      <c r="J11" s="215">
        <f>'3товар'!J18*1000</f>
        <v>1870000</v>
      </c>
      <c r="K11" s="215">
        <f>'3товар'!K18*1000</f>
        <v>1921000</v>
      </c>
      <c r="L11" s="224">
        <f>'3товар'!L18*1000</f>
        <v>1921000</v>
      </c>
      <c r="M11" s="224">
        <f>'3товар'!M18*1000</f>
        <v>1921000</v>
      </c>
      <c r="N11" s="224">
        <f>'3товар'!N18*1000</f>
        <v>1921000</v>
      </c>
      <c r="O11" s="224">
        <f>'3товар'!O18*1000</f>
        <v>1921000</v>
      </c>
      <c r="P11" s="215">
        <f>'3товар'!P18*1000</f>
        <v>1921000</v>
      </c>
      <c r="Q11" s="215">
        <f>'3товар'!Q18*1000</f>
        <v>1921000</v>
      </c>
      <c r="R11" s="215">
        <f>'3товар'!R18*1000</f>
        <v>1921000</v>
      </c>
      <c r="S11" s="215">
        <f>'3товар'!S18*1000</f>
        <v>1921000</v>
      </c>
      <c r="T11" s="215">
        <f>'3товар'!T18*1000</f>
        <v>1921000</v>
      </c>
      <c r="U11" s="215">
        <f>'3товар'!U18*1000</f>
        <v>1921000</v>
      </c>
      <c r="V11" s="215">
        <f>'3товар'!V18*1000</f>
        <v>1921000</v>
      </c>
      <c r="W11" s="436">
        <f t="shared" si="2"/>
        <v>39882000</v>
      </c>
      <c r="X11" s="437">
        <f t="shared" si="6"/>
        <v>32262258.726966508</v>
      </c>
      <c r="Y11" s="439" t="str">
        <f t="shared" si="3"/>
        <v>Не существует</v>
      </c>
      <c r="AA11" t="str">
        <f t="shared" si="4"/>
        <v>Участник 3- Товарное овощеводство</v>
      </c>
    </row>
    <row r="12" spans="1:27" ht="18.75" x14ac:dyDescent="0.3">
      <c r="A12" s="434" t="s">
        <v>46</v>
      </c>
      <c r="B12" s="435">
        <f>SUM(B13:B15)</f>
        <v>-7603</v>
      </c>
      <c r="C12" s="435">
        <f t="shared" ref="C12:V12" si="7">SUM(C13:C15)</f>
        <v>1325</v>
      </c>
      <c r="D12" s="435">
        <f t="shared" si="7"/>
        <v>0</v>
      </c>
      <c r="E12" s="435">
        <f t="shared" si="7"/>
        <v>0</v>
      </c>
      <c r="F12" s="468">
        <f t="shared" si="7"/>
        <v>4341</v>
      </c>
      <c r="G12" s="468">
        <f t="shared" si="7"/>
        <v>4390.7</v>
      </c>
      <c r="H12" s="468">
        <f t="shared" si="7"/>
        <v>4397</v>
      </c>
      <c r="I12" s="468">
        <f t="shared" si="7"/>
        <v>3597</v>
      </c>
      <c r="J12" s="435">
        <f t="shared" si="7"/>
        <v>3597</v>
      </c>
      <c r="K12" s="435">
        <f t="shared" si="7"/>
        <v>63897</v>
      </c>
      <c r="L12" s="468">
        <f t="shared" si="7"/>
        <v>63097</v>
      </c>
      <c r="M12" s="468">
        <f t="shared" si="7"/>
        <v>63097</v>
      </c>
      <c r="N12" s="468">
        <f t="shared" si="7"/>
        <v>62988</v>
      </c>
      <c r="O12" s="468">
        <f t="shared" si="7"/>
        <v>62188</v>
      </c>
      <c r="P12" s="435">
        <f t="shared" si="7"/>
        <v>58706.3</v>
      </c>
      <c r="Q12" s="435">
        <f t="shared" si="7"/>
        <v>59500</v>
      </c>
      <c r="R12" s="435">
        <f t="shared" si="7"/>
        <v>59500</v>
      </c>
      <c r="S12" s="435">
        <f t="shared" si="7"/>
        <v>59500</v>
      </c>
      <c r="T12" s="435">
        <f t="shared" si="7"/>
        <v>0</v>
      </c>
      <c r="U12" s="435">
        <f t="shared" si="7"/>
        <v>0</v>
      </c>
      <c r="V12" s="435">
        <f t="shared" si="7"/>
        <v>0</v>
      </c>
      <c r="W12" s="523">
        <f t="shared" si="2"/>
        <v>566518</v>
      </c>
      <c r="X12" s="522">
        <f t="shared" si="6"/>
        <v>431410.6528711766</v>
      </c>
      <c r="Y12" s="439">
        <f t="shared" si="3"/>
        <v>0.50559691154325703</v>
      </c>
      <c r="AA12" t="str">
        <f t="shared" si="4"/>
        <v>Прирост чистых выгод</v>
      </c>
    </row>
    <row r="13" spans="1:27" ht="18.75" x14ac:dyDescent="0.3">
      <c r="A13" s="433" t="s">
        <v>433</v>
      </c>
      <c r="B13" s="215">
        <f>B9-B5</f>
        <v>-7603</v>
      </c>
      <c r="C13" s="215">
        <f t="shared" ref="C13:V15" si="8">C9-C5</f>
        <v>1325</v>
      </c>
      <c r="D13" s="215">
        <f t="shared" si="8"/>
        <v>0</v>
      </c>
      <c r="E13" s="215">
        <f t="shared" si="8"/>
        <v>0</v>
      </c>
      <c r="F13" s="224">
        <f t="shared" si="8"/>
        <v>4341</v>
      </c>
      <c r="G13" s="224">
        <f t="shared" si="8"/>
        <v>4390.7</v>
      </c>
      <c r="H13" s="224">
        <f t="shared" si="8"/>
        <v>4397</v>
      </c>
      <c r="I13" s="224">
        <f t="shared" si="8"/>
        <v>4397</v>
      </c>
      <c r="J13" s="215">
        <f t="shared" si="8"/>
        <v>2357</v>
      </c>
      <c r="K13" s="215">
        <f t="shared" si="8"/>
        <v>12897</v>
      </c>
      <c r="L13" s="224">
        <f t="shared" si="8"/>
        <v>12897</v>
      </c>
      <c r="M13" s="224">
        <f t="shared" si="8"/>
        <v>10857</v>
      </c>
      <c r="N13" s="224">
        <f t="shared" si="8"/>
        <v>11988</v>
      </c>
      <c r="O13" s="224">
        <f t="shared" si="8"/>
        <v>11988</v>
      </c>
      <c r="P13" s="215">
        <f t="shared" si="8"/>
        <v>6466.3</v>
      </c>
      <c r="Q13" s="215">
        <f t="shared" si="8"/>
        <v>8500</v>
      </c>
      <c r="R13" s="215">
        <f t="shared" si="8"/>
        <v>8500</v>
      </c>
      <c r="S13" s="215">
        <f t="shared" si="8"/>
        <v>8500</v>
      </c>
      <c r="T13" s="215">
        <f t="shared" si="8"/>
        <v>0</v>
      </c>
      <c r="U13" s="215">
        <f t="shared" si="8"/>
        <v>0</v>
      </c>
      <c r="V13" s="215">
        <f t="shared" si="8"/>
        <v>0</v>
      </c>
      <c r="W13" s="436">
        <f t="shared" si="2"/>
        <v>106198</v>
      </c>
      <c r="X13" s="437">
        <f t="shared" si="6"/>
        <v>82086.987473545305</v>
      </c>
      <c r="Y13" s="439">
        <f t="shared" si="3"/>
        <v>0.34822907273917347</v>
      </c>
      <c r="AA13" t="str">
        <f t="shared" si="4"/>
        <v>Участник 1 - Селекционер</v>
      </c>
    </row>
    <row r="14" spans="1:27" ht="18.75" x14ac:dyDescent="0.3">
      <c r="A14" t="s">
        <v>434</v>
      </c>
      <c r="B14" s="215">
        <f t="shared" ref="B14:Q15" si="9">B10-B6</f>
        <v>0</v>
      </c>
      <c r="C14" s="215">
        <f t="shared" si="9"/>
        <v>0</v>
      </c>
      <c r="D14" s="215">
        <f t="shared" si="9"/>
        <v>0</v>
      </c>
      <c r="E14" s="215">
        <f t="shared" si="9"/>
        <v>0</v>
      </c>
      <c r="F14" s="224">
        <f t="shared" si="9"/>
        <v>0</v>
      </c>
      <c r="G14" s="224">
        <f t="shared" si="9"/>
        <v>0</v>
      </c>
      <c r="H14" s="224">
        <f t="shared" si="9"/>
        <v>0</v>
      </c>
      <c r="I14" s="224">
        <f t="shared" si="9"/>
        <v>-800.00000000000011</v>
      </c>
      <c r="J14" s="215">
        <f t="shared" si="9"/>
        <v>1240</v>
      </c>
      <c r="K14" s="215">
        <f t="shared" si="9"/>
        <v>0</v>
      </c>
      <c r="L14" s="224">
        <f t="shared" si="9"/>
        <v>-800.00000000000011</v>
      </c>
      <c r="M14" s="224">
        <f t="shared" si="9"/>
        <v>1240</v>
      </c>
      <c r="N14" s="224">
        <f t="shared" si="9"/>
        <v>0</v>
      </c>
      <c r="O14" s="224">
        <f t="shared" si="9"/>
        <v>-800.00000000000011</v>
      </c>
      <c r="P14" s="215">
        <f t="shared" si="9"/>
        <v>1240</v>
      </c>
      <c r="Q14" s="215">
        <f t="shared" si="9"/>
        <v>0</v>
      </c>
      <c r="R14" s="215">
        <f t="shared" si="8"/>
        <v>0</v>
      </c>
      <c r="S14" s="215">
        <f t="shared" si="8"/>
        <v>0</v>
      </c>
      <c r="T14" s="215">
        <f t="shared" si="8"/>
        <v>0</v>
      </c>
      <c r="U14" s="215">
        <f t="shared" si="8"/>
        <v>0</v>
      </c>
      <c r="V14" s="215">
        <f t="shared" si="8"/>
        <v>0</v>
      </c>
      <c r="W14" s="436">
        <f t="shared" si="2"/>
        <v>1319.9999999999995</v>
      </c>
      <c r="X14" s="437">
        <f t="shared" si="6"/>
        <v>1004.143584691761</v>
      </c>
      <c r="Y14" s="439">
        <f t="shared" si="3"/>
        <v>0.54999999999987059</v>
      </c>
      <c r="AA14" t="str">
        <f t="shared" si="4"/>
        <v>Участник 2 - Семеновод</v>
      </c>
    </row>
    <row r="15" spans="1:27" ht="18.75" x14ac:dyDescent="0.3">
      <c r="A15" t="s">
        <v>435</v>
      </c>
      <c r="B15" s="215">
        <f t="shared" si="9"/>
        <v>0</v>
      </c>
      <c r="C15" s="215">
        <f t="shared" si="8"/>
        <v>0</v>
      </c>
      <c r="D15" s="215">
        <f t="shared" si="8"/>
        <v>0</v>
      </c>
      <c r="E15" s="215">
        <f t="shared" si="8"/>
        <v>0</v>
      </c>
      <c r="F15" s="224">
        <f t="shared" si="8"/>
        <v>0</v>
      </c>
      <c r="G15" s="224">
        <f t="shared" si="8"/>
        <v>0</v>
      </c>
      <c r="H15" s="224">
        <f t="shared" si="8"/>
        <v>0</v>
      </c>
      <c r="I15" s="224">
        <f t="shared" si="8"/>
        <v>0</v>
      </c>
      <c r="J15" s="215">
        <f t="shared" si="8"/>
        <v>0</v>
      </c>
      <c r="K15" s="215">
        <f t="shared" si="8"/>
        <v>51000</v>
      </c>
      <c r="L15" s="224">
        <f t="shared" si="8"/>
        <v>51000</v>
      </c>
      <c r="M15" s="224">
        <f t="shared" si="8"/>
        <v>51000</v>
      </c>
      <c r="N15" s="224">
        <f t="shared" si="8"/>
        <v>51000</v>
      </c>
      <c r="O15" s="224">
        <f t="shared" si="8"/>
        <v>51000</v>
      </c>
      <c r="P15" s="215">
        <f t="shared" si="8"/>
        <v>51000</v>
      </c>
      <c r="Q15" s="215">
        <f t="shared" si="8"/>
        <v>51000</v>
      </c>
      <c r="R15" s="215">
        <f t="shared" si="8"/>
        <v>51000</v>
      </c>
      <c r="S15" s="215">
        <f t="shared" si="8"/>
        <v>51000</v>
      </c>
      <c r="T15" s="215">
        <f t="shared" si="8"/>
        <v>0</v>
      </c>
      <c r="U15" s="215">
        <f t="shared" si="8"/>
        <v>0</v>
      </c>
      <c r="V15" s="215">
        <f t="shared" si="8"/>
        <v>0</v>
      </c>
      <c r="W15" s="436">
        <f t="shared" si="2"/>
        <v>459000</v>
      </c>
      <c r="X15" s="437">
        <f t="shared" si="6"/>
        <v>348319.52181293961</v>
      </c>
      <c r="Y15" s="439" t="str">
        <f t="shared" si="3"/>
        <v>Не существует</v>
      </c>
      <c r="AA15" t="str">
        <f t="shared" si="4"/>
        <v>Участник 3- Товарное овощеводство</v>
      </c>
    </row>
    <row r="16" spans="1:27" x14ac:dyDescent="0.25">
      <c r="A16" s="460" t="s">
        <v>438</v>
      </c>
      <c r="F16" s="56"/>
      <c r="G16" s="56"/>
      <c r="H16" s="56"/>
      <c r="I16" s="56"/>
      <c r="L16" s="56"/>
      <c r="M16" s="56"/>
      <c r="N16" s="56"/>
      <c r="O16" s="56"/>
      <c r="X16" s="188" t="s">
        <v>439</v>
      </c>
      <c r="AA16" t="str">
        <f t="shared" si="4"/>
        <v>Оценка реализуемости</v>
      </c>
    </row>
    <row r="17" spans="1:27" s="37" customFormat="1" x14ac:dyDescent="0.25">
      <c r="A17" s="463" t="s">
        <v>41</v>
      </c>
      <c r="B17" s="464">
        <f>B8</f>
        <v>1858000</v>
      </c>
      <c r="C17" s="464">
        <f>B17+C8</f>
        <v>3724928</v>
      </c>
      <c r="D17" s="464">
        <f t="shared" ref="D17:V17" si="10">C17+D8</f>
        <v>5590531</v>
      </c>
      <c r="E17" s="464">
        <f t="shared" si="10"/>
        <v>7456134</v>
      </c>
      <c r="F17" s="469">
        <f t="shared" si="10"/>
        <v>9326078</v>
      </c>
      <c r="G17" s="470">
        <f t="shared" si="10"/>
        <v>11196071.699999999</v>
      </c>
      <c r="H17" s="470">
        <f t="shared" si="10"/>
        <v>13066071.699999999</v>
      </c>
      <c r="I17" s="471">
        <f t="shared" si="10"/>
        <v>14935271.699999999</v>
      </c>
      <c r="J17" s="464">
        <f t="shared" si="10"/>
        <v>16804471.699999999</v>
      </c>
      <c r="K17" s="464">
        <f t="shared" si="10"/>
        <v>18733971.699999999</v>
      </c>
      <c r="L17" s="470">
        <f t="shared" si="10"/>
        <v>20662671.699999999</v>
      </c>
      <c r="M17" s="470">
        <f t="shared" si="10"/>
        <v>22591371.699999999</v>
      </c>
      <c r="N17" s="470">
        <f t="shared" si="10"/>
        <v>24520871.699999999</v>
      </c>
      <c r="O17" s="470">
        <f t="shared" si="10"/>
        <v>26449571.699999999</v>
      </c>
      <c r="P17" s="464">
        <f t="shared" si="10"/>
        <v>28378271.699999999</v>
      </c>
      <c r="Q17" s="464">
        <f t="shared" si="10"/>
        <v>30307771.699999999</v>
      </c>
      <c r="R17" s="464">
        <f t="shared" si="10"/>
        <v>32236471.699999999</v>
      </c>
      <c r="S17" s="464">
        <f t="shared" si="10"/>
        <v>34165171.700000003</v>
      </c>
      <c r="T17" s="464">
        <f t="shared" si="10"/>
        <v>36094671.700000003</v>
      </c>
      <c r="U17" s="464">
        <f t="shared" si="10"/>
        <v>38024171.700000003</v>
      </c>
      <c r="V17" s="464">
        <f t="shared" si="10"/>
        <v>39953671.700000003</v>
      </c>
      <c r="W17" s="461" t="s">
        <v>82</v>
      </c>
      <c r="X17" s="462">
        <f>MIN(B17:V17)</f>
        <v>1858000</v>
      </c>
      <c r="AA17" t="str">
        <f t="shared" si="4"/>
        <v>Накопленное сальдо</v>
      </c>
    </row>
    <row r="18" spans="1:27" ht="18.75" x14ac:dyDescent="0.3">
      <c r="A18" s="433" t="s">
        <v>433</v>
      </c>
      <c r="B18" s="215">
        <f>B9</f>
        <v>-12000</v>
      </c>
      <c r="C18" s="215">
        <f>B18+C9</f>
        <v>-15072</v>
      </c>
      <c r="D18" s="215">
        <f t="shared" ref="D18:V20" si="11">C18+D9</f>
        <v>-19469</v>
      </c>
      <c r="E18" s="215">
        <f t="shared" si="11"/>
        <v>-23866</v>
      </c>
      <c r="F18" s="224">
        <f t="shared" si="11"/>
        <v>-23922</v>
      </c>
      <c r="G18" s="224">
        <f t="shared" si="11"/>
        <v>-23928.3</v>
      </c>
      <c r="H18" s="224">
        <f t="shared" si="11"/>
        <v>-23928.3</v>
      </c>
      <c r="I18" s="224">
        <f t="shared" si="11"/>
        <v>-23928.3</v>
      </c>
      <c r="J18" s="215">
        <f t="shared" si="11"/>
        <v>-25968.3</v>
      </c>
      <c r="K18" s="215">
        <f t="shared" si="11"/>
        <v>-17468.3</v>
      </c>
      <c r="L18" s="224">
        <f t="shared" si="11"/>
        <v>-8968.2999999999993</v>
      </c>
      <c r="M18" s="224">
        <f t="shared" si="11"/>
        <v>-2508.2999999999993</v>
      </c>
      <c r="N18" s="224">
        <f t="shared" si="11"/>
        <v>5991.7000000000007</v>
      </c>
      <c r="O18" s="224">
        <f t="shared" si="11"/>
        <v>14491.7</v>
      </c>
      <c r="P18" s="215">
        <f t="shared" si="11"/>
        <v>20951.7</v>
      </c>
      <c r="Q18" s="215">
        <f t="shared" si="11"/>
        <v>29451.7</v>
      </c>
      <c r="R18" s="215">
        <f t="shared" si="11"/>
        <v>37951.699999999997</v>
      </c>
      <c r="S18" s="215">
        <f t="shared" si="11"/>
        <v>44411.7</v>
      </c>
      <c r="T18" s="215">
        <f t="shared" si="11"/>
        <v>52911.7</v>
      </c>
      <c r="U18" s="215">
        <f t="shared" si="11"/>
        <v>61411.7</v>
      </c>
      <c r="V18" s="215">
        <f t="shared" si="11"/>
        <v>69911.7</v>
      </c>
      <c r="W18" s="112" t="s">
        <v>82</v>
      </c>
      <c r="X18" s="437">
        <f>MIN(B18:V18)</f>
        <v>-25968.3</v>
      </c>
      <c r="AA18" t="str">
        <f t="shared" si="4"/>
        <v>Участник 1 - Селекционер</v>
      </c>
    </row>
    <row r="19" spans="1:27" ht="18.75" x14ac:dyDescent="0.3">
      <c r="A19" t="s">
        <v>434</v>
      </c>
      <c r="B19" s="215">
        <f>B10</f>
        <v>0</v>
      </c>
      <c r="C19" s="215">
        <f t="shared" ref="C19:R20" si="12">B19+C10</f>
        <v>0</v>
      </c>
      <c r="D19" s="215">
        <f t="shared" si="12"/>
        <v>0</v>
      </c>
      <c r="E19" s="215">
        <f t="shared" si="12"/>
        <v>0</v>
      </c>
      <c r="F19" s="224">
        <f t="shared" si="12"/>
        <v>0</v>
      </c>
      <c r="G19" s="224">
        <f t="shared" si="12"/>
        <v>0</v>
      </c>
      <c r="H19" s="224">
        <f t="shared" si="12"/>
        <v>0</v>
      </c>
      <c r="I19" s="224">
        <f t="shared" si="12"/>
        <v>-800.00000000000011</v>
      </c>
      <c r="J19" s="215">
        <f t="shared" si="12"/>
        <v>439.99999999999989</v>
      </c>
      <c r="K19" s="215">
        <f t="shared" si="12"/>
        <v>439.99999999999989</v>
      </c>
      <c r="L19" s="224">
        <f t="shared" si="12"/>
        <v>-360.00000000000023</v>
      </c>
      <c r="M19" s="224">
        <f t="shared" si="12"/>
        <v>879.99999999999977</v>
      </c>
      <c r="N19" s="224">
        <f t="shared" si="12"/>
        <v>879.99999999999977</v>
      </c>
      <c r="O19" s="224">
        <f t="shared" si="12"/>
        <v>79.999999999999659</v>
      </c>
      <c r="P19" s="215">
        <f t="shared" si="12"/>
        <v>1319.9999999999995</v>
      </c>
      <c r="Q19" s="215">
        <f t="shared" si="12"/>
        <v>1319.9999999999995</v>
      </c>
      <c r="R19" s="215">
        <f t="shared" si="12"/>
        <v>519.99999999999943</v>
      </c>
      <c r="S19" s="215">
        <f t="shared" si="11"/>
        <v>1759.9999999999995</v>
      </c>
      <c r="T19" s="215">
        <f t="shared" si="11"/>
        <v>1759.9999999999995</v>
      </c>
      <c r="U19" s="215">
        <f t="shared" si="11"/>
        <v>1759.9999999999995</v>
      </c>
      <c r="V19" s="215">
        <f t="shared" si="11"/>
        <v>1759.9999999999995</v>
      </c>
      <c r="W19" s="112" t="s">
        <v>82</v>
      </c>
      <c r="X19" s="437">
        <f>MIN(B19:V19)</f>
        <v>-800.00000000000011</v>
      </c>
      <c r="AA19" t="str">
        <f t="shared" si="4"/>
        <v>Участник 2 - Семеновод</v>
      </c>
    </row>
    <row r="20" spans="1:27" s="37" customFormat="1" x14ac:dyDescent="0.25">
      <c r="A20" s="37" t="s">
        <v>435</v>
      </c>
      <c r="B20" s="246">
        <f>B11</f>
        <v>1870000</v>
      </c>
      <c r="C20" s="246">
        <f t="shared" si="12"/>
        <v>3740000</v>
      </c>
      <c r="D20" s="246">
        <f t="shared" si="11"/>
        <v>5610000</v>
      </c>
      <c r="E20" s="246">
        <f t="shared" si="11"/>
        <v>7480000</v>
      </c>
      <c r="F20" s="224">
        <f t="shared" si="11"/>
        <v>9350000</v>
      </c>
      <c r="G20" s="474">
        <f t="shared" si="11"/>
        <v>11220000</v>
      </c>
      <c r="H20" s="474">
        <f t="shared" si="11"/>
        <v>13090000</v>
      </c>
      <c r="I20" s="474">
        <f t="shared" si="11"/>
        <v>14960000</v>
      </c>
      <c r="J20" s="246">
        <f t="shared" si="11"/>
        <v>16830000</v>
      </c>
      <c r="K20" s="246">
        <f t="shared" si="11"/>
        <v>18751000</v>
      </c>
      <c r="L20" s="474">
        <f t="shared" si="11"/>
        <v>20672000</v>
      </c>
      <c r="M20" s="474">
        <f t="shared" si="11"/>
        <v>22593000</v>
      </c>
      <c r="N20" s="474">
        <f>M20+N11</f>
        <v>24514000</v>
      </c>
      <c r="O20" s="474">
        <f t="shared" si="11"/>
        <v>26435000</v>
      </c>
      <c r="P20" s="246">
        <f t="shared" si="11"/>
        <v>28356000</v>
      </c>
      <c r="Q20" s="246">
        <f t="shared" si="11"/>
        <v>30277000</v>
      </c>
      <c r="R20" s="246">
        <f t="shared" si="11"/>
        <v>32198000</v>
      </c>
      <c r="S20" s="246">
        <f t="shared" si="11"/>
        <v>34119000</v>
      </c>
      <c r="T20" s="246">
        <f t="shared" si="11"/>
        <v>36040000</v>
      </c>
      <c r="U20" s="246">
        <f t="shared" si="11"/>
        <v>37961000</v>
      </c>
      <c r="V20" s="246">
        <f t="shared" si="11"/>
        <v>39882000</v>
      </c>
      <c r="W20" s="461" t="s">
        <v>82</v>
      </c>
      <c r="X20" s="462">
        <f>MIN(B20:V20)</f>
        <v>1870000</v>
      </c>
      <c r="AA20" t="str">
        <f t="shared" si="4"/>
        <v>Участник 3- Товарное овощеводство</v>
      </c>
    </row>
    <row r="21" spans="1:27" s="37" customFormat="1" x14ac:dyDescent="0.25">
      <c r="B21" s="246"/>
      <c r="C21" s="246"/>
      <c r="D21" s="246"/>
      <c r="E21" s="246"/>
      <c r="F21" s="480"/>
      <c r="G21" s="481"/>
      <c r="H21" s="481"/>
      <c r="I21" s="481"/>
      <c r="J21" s="246"/>
      <c r="K21" s="558" t="s">
        <v>476</v>
      </c>
      <c r="L21" s="558"/>
      <c r="M21" s="558"/>
      <c r="N21" s="558"/>
      <c r="O21" s="481"/>
      <c r="P21" s="246"/>
      <c r="Q21" s="246"/>
      <c r="R21" s="246"/>
      <c r="S21" s="246"/>
      <c r="T21" s="246"/>
      <c r="U21" s="246"/>
      <c r="V21" s="246"/>
      <c r="W21" s="461"/>
      <c r="X21" s="462"/>
      <c r="AA21"/>
    </row>
    <row r="22" spans="1:27" ht="15.75" x14ac:dyDescent="0.25">
      <c r="K22" s="482">
        <v>431334.11060547561</v>
      </c>
      <c r="L22" s="482">
        <v>82086.987473545305</v>
      </c>
      <c r="M22" s="482">
        <v>927.60131899072894</v>
      </c>
      <c r="N22" s="482">
        <v>348319.52181293961</v>
      </c>
    </row>
    <row r="23" spans="1:27" x14ac:dyDescent="0.25">
      <c r="A23" s="146"/>
      <c r="J23" s="109" t="s">
        <v>477</v>
      </c>
      <c r="K23" s="483" t="s">
        <v>475</v>
      </c>
      <c r="L23" s="116" t="s">
        <v>472</v>
      </c>
      <c r="M23" s="483" t="s">
        <v>473</v>
      </c>
      <c r="N23" s="483" t="s">
        <v>474</v>
      </c>
    </row>
    <row r="24" spans="1:27" x14ac:dyDescent="0.25">
      <c r="B24" s="479">
        <v>1</v>
      </c>
      <c r="C24" s="191" t="s">
        <v>478</v>
      </c>
      <c r="D24" s="21"/>
      <c r="E24" s="21"/>
      <c r="F24" s="191"/>
      <c r="G24" s="191"/>
      <c r="H24" s="191"/>
      <c r="I24" s="191"/>
      <c r="J24" s="191"/>
      <c r="K24" s="484">
        <f>X12</f>
        <v>431410.6528711766</v>
      </c>
      <c r="L24" s="485">
        <f>X13</f>
        <v>82086.987473545305</v>
      </c>
      <c r="M24" s="485">
        <f>X14</f>
        <v>1004.143584691761</v>
      </c>
      <c r="N24" s="486">
        <f>X15</f>
        <v>348319.52181293961</v>
      </c>
    </row>
    <row r="25" spans="1:27" x14ac:dyDescent="0.25">
      <c r="A25" s="476" t="s">
        <v>464</v>
      </c>
      <c r="B25" s="479">
        <v>1</v>
      </c>
      <c r="C25" s="191" t="s">
        <v>471</v>
      </c>
      <c r="D25" s="21"/>
      <c r="E25" s="21"/>
      <c r="F25" s="191"/>
      <c r="G25" s="191"/>
      <c r="H25" s="21"/>
      <c r="I25" s="21"/>
      <c r="J25" s="21"/>
      <c r="M25" s="37"/>
      <c r="N25" s="37"/>
    </row>
    <row r="26" spans="1:27" x14ac:dyDescent="0.25">
      <c r="A26" s="476" t="s">
        <v>464</v>
      </c>
    </row>
    <row r="28" spans="1:27" ht="15.75" thickBot="1" x14ac:dyDescent="0.3"/>
    <row r="29" spans="1:27" x14ac:dyDescent="0.25">
      <c r="A29" s="3" t="s">
        <v>482</v>
      </c>
      <c r="B29" s="491">
        <f>'1сел'!B11</f>
        <v>0</v>
      </c>
      <c r="C29" s="491">
        <f>'1сел'!C11</f>
        <v>0</v>
      </c>
      <c r="D29" s="491">
        <f>'1сел'!D11</f>
        <v>0</v>
      </c>
      <c r="E29" s="491">
        <f>'1сел'!E11</f>
        <v>0</v>
      </c>
      <c r="F29" s="491">
        <f>'1сел'!F11</f>
        <v>0</v>
      </c>
      <c r="G29" s="491">
        <f>'1сел'!G11</f>
        <v>0</v>
      </c>
      <c r="H29" s="491">
        <f>'1сел'!H11</f>
        <v>0</v>
      </c>
      <c r="I29" s="491">
        <f>'1сел'!I11</f>
        <v>0</v>
      </c>
      <c r="J29" s="491">
        <f>'1сел'!J11</f>
        <v>0</v>
      </c>
      <c r="K29" s="491">
        <f>'1сел'!K11</f>
        <v>0</v>
      </c>
      <c r="L29" s="491">
        <f>'1сел'!L11</f>
        <v>0</v>
      </c>
      <c r="M29" s="491">
        <f>'1сел'!M11</f>
        <v>0</v>
      </c>
      <c r="N29" s="491">
        <f>'1сел'!N11</f>
        <v>0</v>
      </c>
      <c r="O29" s="491">
        <f>'1сел'!O11</f>
        <v>0</v>
      </c>
      <c r="P29" s="491">
        <f>'1сел'!P11</f>
        <v>0</v>
      </c>
      <c r="Q29" s="491">
        <f>'1сел'!Q11</f>
        <v>0</v>
      </c>
      <c r="R29" s="491">
        <f>'1сел'!R11</f>
        <v>0</v>
      </c>
      <c r="S29" s="491">
        <f>'1сел'!S11</f>
        <v>0</v>
      </c>
      <c r="T29" s="491">
        <f>'1сел'!T11</f>
        <v>8500</v>
      </c>
      <c r="U29" s="491">
        <f>'1сел'!U11</f>
        <v>8500</v>
      </c>
      <c r="V29" s="491">
        <f>'1сел'!V11</f>
        <v>8500</v>
      </c>
      <c r="W29" s="492">
        <f>SUM(B29:V29)</f>
        <v>25500</v>
      </c>
      <c r="X29" s="493">
        <f>NPV($X$1,Сводный!B29:V29)</f>
        <v>17163.012232032492</v>
      </c>
      <c r="Y29" s="360"/>
    </row>
    <row r="30" spans="1:27" x14ac:dyDescent="0.25">
      <c r="A30" s="7" t="s">
        <v>479</v>
      </c>
      <c r="B30" s="494">
        <f>'1сел'!B5+'1сел'!B6+'1сел'!B7+'1сел'!B10</f>
        <v>4397</v>
      </c>
      <c r="C30" s="494">
        <f>'1сел'!C5+'1сел'!C6+'1сел'!C7+'1сел'!C10</f>
        <v>4397</v>
      </c>
      <c r="D30" s="494">
        <f>'1сел'!D5+'1сел'!D6+'1сел'!D7+'1сел'!D10</f>
        <v>4397</v>
      </c>
      <c r="E30" s="494">
        <f>'1сел'!E5+'1сел'!E6+'1сел'!E7+'1сел'!E10</f>
        <v>4397</v>
      </c>
      <c r="F30" s="494">
        <f>'1сел'!F5+'1сел'!F6+'1сел'!F7+'1сел'!F10</f>
        <v>4397</v>
      </c>
      <c r="G30" s="494">
        <f>'1сел'!G5+'1сел'!G6+'1сел'!G7+'1сел'!G10</f>
        <v>4397</v>
      </c>
      <c r="H30" s="494">
        <f>'1сел'!H5+'1сел'!H6+'1сел'!H7+'1сел'!H10</f>
        <v>4397</v>
      </c>
      <c r="I30" s="494">
        <f>'1сел'!I5+'1сел'!I6+'1сел'!I7+'1сел'!I10</f>
        <v>4397</v>
      </c>
      <c r="J30" s="494">
        <f>'1сел'!J5+'1сел'!J6+'1сел'!J7+'1сел'!J10</f>
        <v>4397</v>
      </c>
      <c r="K30" s="494">
        <f>'1сел'!K5+'1сел'!K6+'1сел'!K7+'1сел'!K10</f>
        <v>4397</v>
      </c>
      <c r="L30" s="494">
        <f>'1сел'!L5+'1сел'!L6+'1сел'!L7+'1сел'!L10</f>
        <v>4397</v>
      </c>
      <c r="M30" s="494">
        <f>'1сел'!M5+'1сел'!M6+'1сел'!M7+'1сел'!M10</f>
        <v>4397</v>
      </c>
      <c r="N30" s="494">
        <f>'1сел'!N5+'1сел'!N6+'1сел'!N7+'1сел'!N10</f>
        <v>3488</v>
      </c>
      <c r="O30" s="494">
        <f>'1сел'!O5+'1сел'!O6+'1сел'!O7+'1сел'!O10</f>
        <v>3488</v>
      </c>
      <c r="P30" s="494">
        <f>'1сел'!P5+'1сел'!P6+'1сел'!P7+'1сел'!P10</f>
        <v>6.3</v>
      </c>
      <c r="Q30" s="494">
        <f>'1сел'!Q5+'1сел'!Q6+'1сел'!Q7+'1сел'!Q10</f>
        <v>0</v>
      </c>
      <c r="R30" s="494">
        <f>'1сел'!R5+'1сел'!R6+'1сел'!R7+'1сел'!R10</f>
        <v>0</v>
      </c>
      <c r="S30" s="494">
        <f>'1сел'!S5+'1сел'!S6+'1сел'!S7+'1сел'!S10</f>
        <v>2040</v>
      </c>
      <c r="T30" s="494">
        <f>'1сел'!T5+'1сел'!T6+'1сел'!T7+'1сел'!T10</f>
        <v>0</v>
      </c>
      <c r="U30" s="494">
        <f>'1сел'!U5+'1сел'!U6+'1сел'!U7+'1сел'!U10</f>
        <v>0</v>
      </c>
      <c r="V30" s="494">
        <f>'1сел'!V5+'1сел'!V6+'1сел'!V7+'1сел'!V10</f>
        <v>0</v>
      </c>
      <c r="W30" s="495">
        <f>SUM(B30:V30)</f>
        <v>61786.3</v>
      </c>
      <c r="X30" s="496">
        <f>NPV($X$1,Сводный!B30:V30)</f>
        <v>53272.586999344836</v>
      </c>
      <c r="Y30" s="361"/>
    </row>
    <row r="31" spans="1:27" x14ac:dyDescent="0.25">
      <c r="A31" s="7" t="s">
        <v>480</v>
      </c>
      <c r="B31" s="494">
        <f>B29-B30</f>
        <v>-4397</v>
      </c>
      <c r="C31" s="494">
        <f t="shared" ref="C31:V31" si="13">C29-C30</f>
        <v>-4397</v>
      </c>
      <c r="D31" s="494">
        <f t="shared" si="13"/>
        <v>-4397</v>
      </c>
      <c r="E31" s="494">
        <f t="shared" si="13"/>
        <v>-4397</v>
      </c>
      <c r="F31" s="494">
        <f t="shared" si="13"/>
        <v>-4397</v>
      </c>
      <c r="G31" s="494">
        <f t="shared" si="13"/>
        <v>-4397</v>
      </c>
      <c r="H31" s="494">
        <f t="shared" si="13"/>
        <v>-4397</v>
      </c>
      <c r="I31" s="494">
        <f t="shared" si="13"/>
        <v>-4397</v>
      </c>
      <c r="J31" s="494">
        <f t="shared" si="13"/>
        <v>-4397</v>
      </c>
      <c r="K31" s="494">
        <f t="shared" si="13"/>
        <v>-4397</v>
      </c>
      <c r="L31" s="494">
        <f t="shared" si="13"/>
        <v>-4397</v>
      </c>
      <c r="M31" s="494">
        <f t="shared" si="13"/>
        <v>-4397</v>
      </c>
      <c r="N31" s="494">
        <f t="shared" si="13"/>
        <v>-3488</v>
      </c>
      <c r="O31" s="494">
        <f t="shared" si="13"/>
        <v>-3488</v>
      </c>
      <c r="P31" s="494">
        <f t="shared" si="13"/>
        <v>-6.3</v>
      </c>
      <c r="Q31" s="494">
        <f t="shared" si="13"/>
        <v>0</v>
      </c>
      <c r="R31" s="494">
        <f t="shared" si="13"/>
        <v>0</v>
      </c>
      <c r="S31" s="494">
        <f t="shared" si="13"/>
        <v>-2040</v>
      </c>
      <c r="T31" s="494">
        <f t="shared" si="13"/>
        <v>8500</v>
      </c>
      <c r="U31" s="494">
        <f t="shared" si="13"/>
        <v>8500</v>
      </c>
      <c r="V31" s="494">
        <f t="shared" si="13"/>
        <v>8500</v>
      </c>
      <c r="W31" s="495">
        <f>SUM(B31:V31)</f>
        <v>-36286.300000000003</v>
      </c>
      <c r="X31" s="496">
        <f>NPV($X$1,Сводный!B31:V31)</f>
        <v>-36109.574767312348</v>
      </c>
      <c r="Y31" s="361">
        <f>X30/X31</f>
        <v>-1.4753036374044772</v>
      </c>
    </row>
    <row r="32" spans="1:27" s="72" customFormat="1" x14ac:dyDescent="0.25">
      <c r="A32" s="497" t="s">
        <v>481</v>
      </c>
      <c r="B32" s="498">
        <f>B5-B31</f>
        <v>0</v>
      </c>
      <c r="C32" s="498">
        <f t="shared" ref="C32:V32" si="14">C5-C31</f>
        <v>0</v>
      </c>
      <c r="D32" s="498">
        <f t="shared" si="14"/>
        <v>0</v>
      </c>
      <c r="E32" s="498">
        <f t="shared" si="14"/>
        <v>0</v>
      </c>
      <c r="F32" s="498">
        <f t="shared" si="14"/>
        <v>0</v>
      </c>
      <c r="G32" s="498">
        <f t="shared" si="14"/>
        <v>0</v>
      </c>
      <c r="H32" s="498">
        <f t="shared" si="14"/>
        <v>0</v>
      </c>
      <c r="I32" s="498">
        <f t="shared" si="14"/>
        <v>0</v>
      </c>
      <c r="J32" s="498">
        <f t="shared" si="14"/>
        <v>0</v>
      </c>
      <c r="K32" s="498">
        <f t="shared" si="14"/>
        <v>0</v>
      </c>
      <c r="L32" s="498">
        <f t="shared" si="14"/>
        <v>0</v>
      </c>
      <c r="M32" s="498">
        <f t="shared" si="14"/>
        <v>0</v>
      </c>
      <c r="N32" s="498">
        <f t="shared" si="14"/>
        <v>0</v>
      </c>
      <c r="O32" s="498">
        <f t="shared" si="14"/>
        <v>0</v>
      </c>
      <c r="P32" s="498">
        <f t="shared" si="14"/>
        <v>0</v>
      </c>
      <c r="Q32" s="498">
        <f t="shared" si="14"/>
        <v>0</v>
      </c>
      <c r="R32" s="498">
        <f t="shared" si="14"/>
        <v>0</v>
      </c>
      <c r="S32" s="498">
        <f t="shared" si="14"/>
        <v>0</v>
      </c>
      <c r="T32" s="498">
        <f t="shared" si="14"/>
        <v>0</v>
      </c>
      <c r="U32" s="498">
        <f t="shared" si="14"/>
        <v>0</v>
      </c>
      <c r="V32" s="498">
        <f t="shared" si="14"/>
        <v>0</v>
      </c>
      <c r="W32" s="499">
        <f>SUM(B32:V32)</f>
        <v>0</v>
      </c>
      <c r="X32" s="500">
        <f>NPV($X$1,Сводный!B32:V32)</f>
        <v>0</v>
      </c>
      <c r="Y32" s="501"/>
    </row>
    <row r="33" spans="1:25" x14ac:dyDescent="0.25">
      <c r="A33" s="7" t="s">
        <v>483</v>
      </c>
      <c r="B33" s="494">
        <f>'1сел'!B30</f>
        <v>0</v>
      </c>
      <c r="C33" s="494">
        <f>'1сел'!C30</f>
        <v>0</v>
      </c>
      <c r="D33" s="494">
        <f>'1сел'!D30</f>
        <v>0</v>
      </c>
      <c r="E33" s="494">
        <f>'1сел'!E30</f>
        <v>0</v>
      </c>
      <c r="F33" s="494">
        <f>'1сел'!F30</f>
        <v>0</v>
      </c>
      <c r="G33" s="494">
        <f>'1сел'!G30</f>
        <v>0</v>
      </c>
      <c r="H33" s="494">
        <f>'1сел'!H30</f>
        <v>0</v>
      </c>
      <c r="I33" s="494">
        <f>'1сел'!I30</f>
        <v>0</v>
      </c>
      <c r="J33" s="494">
        <f>'1сел'!J30</f>
        <v>0</v>
      </c>
      <c r="K33" s="494">
        <f>'1сел'!K30</f>
        <v>8500</v>
      </c>
      <c r="L33" s="494">
        <f>'1сел'!L30</f>
        <v>8500</v>
      </c>
      <c r="M33" s="494">
        <f>'1сел'!M30</f>
        <v>8500</v>
      </c>
      <c r="N33" s="494">
        <f>'1сел'!N30</f>
        <v>8500</v>
      </c>
      <c r="O33" s="494">
        <f>'1сел'!O30</f>
        <v>8500</v>
      </c>
      <c r="P33" s="494">
        <f>'1сел'!P30</f>
        <v>8500</v>
      </c>
      <c r="Q33" s="494">
        <f>'1сел'!Q30</f>
        <v>8500</v>
      </c>
      <c r="R33" s="494">
        <f>'1сел'!R30</f>
        <v>8500</v>
      </c>
      <c r="S33" s="494">
        <f>'1сел'!S30</f>
        <v>8500</v>
      </c>
      <c r="T33" s="494">
        <f>'1сел'!T30</f>
        <v>8500</v>
      </c>
      <c r="U33" s="494">
        <f>'1сел'!U30</f>
        <v>8500</v>
      </c>
      <c r="V33" s="494">
        <f>'1сел'!V30</f>
        <v>8500</v>
      </c>
      <c r="W33" s="495">
        <f t="shared" ref="W33:W39" si="15">SUM(B33:V33)</f>
        <v>102000</v>
      </c>
      <c r="X33" s="496">
        <f>NPV($X$1,Сводный!B33:V33)</f>
        <v>75216.265867522423</v>
      </c>
      <c r="Y33" s="361"/>
    </row>
    <row r="34" spans="1:25" x14ac:dyDescent="0.25">
      <c r="A34" s="7" t="s">
        <v>479</v>
      </c>
      <c r="B34" s="494">
        <f>'1сел'!B22+'1сел'!B23+'1сел'!B24+'1сел'!B25+'1сел'!B26+'1сел'!B29</f>
        <v>12000</v>
      </c>
      <c r="C34" s="494">
        <f>'1сел'!C22+'1сел'!C23+'1сел'!C24+'1сел'!C25+'1сел'!C26+'1сел'!C29</f>
        <v>3072</v>
      </c>
      <c r="D34" s="494">
        <f>'1сел'!D22+'1сел'!D23+'1сел'!D24+'1сел'!D25+'1сел'!D26+'1сел'!D29</f>
        <v>4397</v>
      </c>
      <c r="E34" s="494">
        <f>'1сел'!E22+'1сел'!E23+'1сел'!E24+'1сел'!E25+'1сел'!E26+'1сел'!E29</f>
        <v>4397</v>
      </c>
      <c r="F34" s="494">
        <f>'1сел'!F22+'1сел'!F23+'1сел'!F24+'1сел'!F25+'1сел'!F26+'1сел'!F29</f>
        <v>56</v>
      </c>
      <c r="G34" s="494">
        <f>'1сел'!G22+'1сел'!G23+'1сел'!G24+'1сел'!G25+'1сел'!G26+'1сел'!G29</f>
        <v>6.3</v>
      </c>
      <c r="H34" s="494">
        <f>'1сел'!H22+'1сел'!H23+'1сел'!H24+'1сел'!H25+'1сел'!H26+'1сел'!H29</f>
        <v>0</v>
      </c>
      <c r="I34" s="494">
        <f>'1сел'!I22+'1сел'!I23+'1сел'!I24+'1сел'!I25+'1сел'!I26+'1сел'!I29</f>
        <v>0</v>
      </c>
      <c r="J34" s="494">
        <f>'1сел'!J22+'1сел'!J23+'1сел'!J24+'1сел'!J25+'1сел'!J26+'1сел'!J29</f>
        <v>2040</v>
      </c>
      <c r="K34" s="494">
        <f>'1сел'!K22+'1сел'!K23+'1сел'!K24+'1сел'!K25+'1сел'!K26+'1сел'!K29</f>
        <v>0</v>
      </c>
      <c r="L34" s="494">
        <f>'1сел'!L22+'1сел'!L23+'1сел'!L24+'1сел'!L25+'1сел'!L26+'1сел'!L29</f>
        <v>0</v>
      </c>
      <c r="M34" s="494">
        <f>'1сел'!M22+'1сел'!M23+'1сел'!M24+'1сел'!M25+'1сел'!M26+'1сел'!M29</f>
        <v>2040</v>
      </c>
      <c r="N34" s="494">
        <f>'1сел'!N22+'1сел'!N23+'1сел'!N24+'1сел'!N25+'1сел'!N26+'1сел'!N29</f>
        <v>0</v>
      </c>
      <c r="O34" s="494">
        <f>'1сел'!O22+'1сел'!O23+'1сел'!O24+'1сел'!O25+'1сел'!O26+'1сел'!O29</f>
        <v>0</v>
      </c>
      <c r="P34" s="494">
        <f>'1сел'!P22+'1сел'!P23+'1сел'!P24+'1сел'!P25+'1сел'!P26+'1сел'!P29</f>
        <v>2040</v>
      </c>
      <c r="Q34" s="494">
        <f>'1сел'!Q22+'1сел'!Q23+'1сел'!Q24+'1сел'!Q25+'1сел'!Q26+'1сел'!Q29</f>
        <v>0</v>
      </c>
      <c r="R34" s="494">
        <f>'1сел'!R22+'1сел'!R23+'1сел'!R24+'1сел'!R25+'1сел'!R26+'1сел'!R29</f>
        <v>0</v>
      </c>
      <c r="S34" s="494">
        <f>'1сел'!S22+'1сел'!S23+'1сел'!S24+'1сел'!S25+'1сел'!S26+'1сел'!S29</f>
        <v>2040</v>
      </c>
      <c r="T34" s="494">
        <f>'1сел'!T22+'1сел'!T23+'1сел'!T24+'1сел'!T25+'1сел'!T26+'1сел'!T29</f>
        <v>0</v>
      </c>
      <c r="U34" s="494">
        <f>'1сел'!U22+'1сел'!U23+'1сел'!U24+'1сел'!U25+'1сел'!U26+'1сел'!U29</f>
        <v>0</v>
      </c>
      <c r="V34" s="494">
        <f>'1сел'!V22+'1сел'!V23+'1сел'!V24+'1сел'!V25+'1сел'!V26+'1сел'!V29</f>
        <v>0</v>
      </c>
      <c r="W34" s="495">
        <f t="shared" si="15"/>
        <v>32088.3</v>
      </c>
      <c r="X34" s="496">
        <f>NPV($X$1,Сводный!B34:V34)</f>
        <v>29238.853161289477</v>
      </c>
      <c r="Y34" s="361"/>
    </row>
    <row r="35" spans="1:25" x14ac:dyDescent="0.25">
      <c r="A35" s="7" t="s">
        <v>480</v>
      </c>
      <c r="B35" s="494">
        <f>B33-B34</f>
        <v>-12000</v>
      </c>
      <c r="C35" s="494">
        <f t="shared" ref="C35:V35" si="16">C33-C34</f>
        <v>-3072</v>
      </c>
      <c r="D35" s="494">
        <f t="shared" si="16"/>
        <v>-4397</v>
      </c>
      <c r="E35" s="494">
        <f t="shared" si="16"/>
        <v>-4397</v>
      </c>
      <c r="F35" s="494">
        <f t="shared" si="16"/>
        <v>-56</v>
      </c>
      <c r="G35" s="494">
        <f t="shared" si="16"/>
        <v>-6.3</v>
      </c>
      <c r="H35" s="494">
        <f t="shared" si="16"/>
        <v>0</v>
      </c>
      <c r="I35" s="494">
        <f t="shared" si="16"/>
        <v>0</v>
      </c>
      <c r="J35" s="494">
        <f t="shared" si="16"/>
        <v>-2040</v>
      </c>
      <c r="K35" s="494">
        <f t="shared" si="16"/>
        <v>8500</v>
      </c>
      <c r="L35" s="494">
        <f t="shared" si="16"/>
        <v>8500</v>
      </c>
      <c r="M35" s="494">
        <f t="shared" si="16"/>
        <v>6460</v>
      </c>
      <c r="N35" s="494">
        <f t="shared" si="16"/>
        <v>8500</v>
      </c>
      <c r="O35" s="494">
        <f t="shared" si="16"/>
        <v>8500</v>
      </c>
      <c r="P35" s="494">
        <f t="shared" si="16"/>
        <v>6460</v>
      </c>
      <c r="Q35" s="494">
        <f t="shared" si="16"/>
        <v>8500</v>
      </c>
      <c r="R35" s="494">
        <f t="shared" si="16"/>
        <v>8500</v>
      </c>
      <c r="S35" s="494">
        <f t="shared" si="16"/>
        <v>6460</v>
      </c>
      <c r="T35" s="494">
        <f t="shared" si="16"/>
        <v>8500</v>
      </c>
      <c r="U35" s="494">
        <f t="shared" si="16"/>
        <v>8500</v>
      </c>
      <c r="V35" s="494">
        <f t="shared" si="16"/>
        <v>8500</v>
      </c>
      <c r="W35" s="495">
        <f t="shared" si="15"/>
        <v>69911.7</v>
      </c>
      <c r="X35" s="496">
        <f>NPV($X$1,Сводный!B35:V35)</f>
        <v>45977.41270623295</v>
      </c>
      <c r="Y35" s="361">
        <f>X34/X35</f>
        <v>0.63593950682061107</v>
      </c>
    </row>
    <row r="36" spans="1:25" s="490" customFormat="1" x14ac:dyDescent="0.25">
      <c r="A36" s="497" t="s">
        <v>481</v>
      </c>
      <c r="B36" s="498">
        <f>'1сел'!B32-B35</f>
        <v>0</v>
      </c>
      <c r="C36" s="498">
        <f>'1сел'!C32-C35</f>
        <v>0</v>
      </c>
      <c r="D36" s="498">
        <f>'1сел'!D32-D35</f>
        <v>0</v>
      </c>
      <c r="E36" s="498">
        <f>'1сел'!E32-E35</f>
        <v>0</v>
      </c>
      <c r="F36" s="498">
        <f>'1сел'!F32-F35</f>
        <v>0</v>
      </c>
      <c r="G36" s="498">
        <f>'1сел'!G32-G35</f>
        <v>0</v>
      </c>
      <c r="H36" s="498">
        <f>'1сел'!H32-H35</f>
        <v>0</v>
      </c>
      <c r="I36" s="498">
        <f>'1сел'!I32-I35</f>
        <v>0</v>
      </c>
      <c r="J36" s="498">
        <f>'1сел'!J32-J35</f>
        <v>0</v>
      </c>
      <c r="K36" s="498">
        <f>'1сел'!K32-K35</f>
        <v>0</v>
      </c>
      <c r="L36" s="498">
        <f>'1сел'!L32-L35</f>
        <v>0</v>
      </c>
      <c r="M36" s="498">
        <f>'1сел'!M32-M35</f>
        <v>0</v>
      </c>
      <c r="N36" s="498">
        <f>'1сел'!N32-N35</f>
        <v>0</v>
      </c>
      <c r="O36" s="498">
        <f>'1сел'!O32-O35</f>
        <v>0</v>
      </c>
      <c r="P36" s="498">
        <f>'1сел'!P32-P35</f>
        <v>0</v>
      </c>
      <c r="Q36" s="498">
        <f>'1сел'!Q32-Q35</f>
        <v>0</v>
      </c>
      <c r="R36" s="498">
        <f>'1сел'!R32-R35</f>
        <v>0</v>
      </c>
      <c r="S36" s="498">
        <f>'1сел'!S32-S35</f>
        <v>0</v>
      </c>
      <c r="T36" s="498">
        <f>'1сел'!T32-T35</f>
        <v>0</v>
      </c>
      <c r="U36" s="498">
        <f>'1сел'!U32-U35</f>
        <v>0</v>
      </c>
      <c r="V36" s="498">
        <f>'1сел'!V32-V35</f>
        <v>0</v>
      </c>
      <c r="W36" s="502">
        <f t="shared" si="15"/>
        <v>0</v>
      </c>
      <c r="X36" s="503">
        <f>NPV($X$1,Сводный!B36:V36)</f>
        <v>0</v>
      </c>
      <c r="Y36" s="504"/>
    </row>
    <row r="37" spans="1:25" x14ac:dyDescent="0.25">
      <c r="A37" s="7" t="s">
        <v>484</v>
      </c>
      <c r="B37" s="480">
        <f t="shared" ref="B37:N37" si="17">B33-B29</f>
        <v>0</v>
      </c>
      <c r="C37" s="480">
        <f t="shared" si="17"/>
        <v>0</v>
      </c>
      <c r="D37" s="480">
        <f t="shared" si="17"/>
        <v>0</v>
      </c>
      <c r="E37" s="480">
        <f t="shared" si="17"/>
        <v>0</v>
      </c>
      <c r="F37" s="480">
        <f t="shared" si="17"/>
        <v>0</v>
      </c>
      <c r="G37" s="480">
        <f t="shared" si="17"/>
        <v>0</v>
      </c>
      <c r="H37" s="480">
        <f t="shared" si="17"/>
        <v>0</v>
      </c>
      <c r="I37" s="480">
        <f t="shared" si="17"/>
        <v>0</v>
      </c>
      <c r="J37" s="480">
        <f t="shared" si="17"/>
        <v>0</v>
      </c>
      <c r="K37" s="480">
        <f t="shared" si="17"/>
        <v>8500</v>
      </c>
      <c r="L37" s="480">
        <f t="shared" si="17"/>
        <v>8500</v>
      </c>
      <c r="M37" s="480">
        <f t="shared" si="17"/>
        <v>8500</v>
      </c>
      <c r="N37" s="480">
        <f t="shared" si="17"/>
        <v>8500</v>
      </c>
      <c r="O37" s="480">
        <f>O33-O29</f>
        <v>8500</v>
      </c>
      <c r="P37" s="480">
        <f t="shared" ref="P37:V37" si="18">P33-P29</f>
        <v>8500</v>
      </c>
      <c r="Q37" s="480">
        <f t="shared" si="18"/>
        <v>8500</v>
      </c>
      <c r="R37" s="480">
        <f t="shared" si="18"/>
        <v>8500</v>
      </c>
      <c r="S37" s="480">
        <f t="shared" si="18"/>
        <v>8500</v>
      </c>
      <c r="T37" s="480">
        <f t="shared" si="18"/>
        <v>0</v>
      </c>
      <c r="U37" s="480">
        <f t="shared" si="18"/>
        <v>0</v>
      </c>
      <c r="V37" s="480">
        <f t="shared" si="18"/>
        <v>0</v>
      </c>
      <c r="W37" s="495">
        <f t="shared" si="15"/>
        <v>76500</v>
      </c>
      <c r="X37" s="496">
        <f>NPV($X$1,Сводный!B37:V37)</f>
        <v>58053.253635489935</v>
      </c>
      <c r="Y37" s="361"/>
    </row>
    <row r="38" spans="1:25" ht="15.75" thickBot="1" x14ac:dyDescent="0.3">
      <c r="A38" s="17" t="s">
        <v>491</v>
      </c>
      <c r="B38" s="505">
        <f t="shared" ref="B38:N38" si="19">B34-B30</f>
        <v>7603</v>
      </c>
      <c r="C38" s="505">
        <f t="shared" si="19"/>
        <v>-1325</v>
      </c>
      <c r="D38" s="505">
        <f t="shared" si="19"/>
        <v>0</v>
      </c>
      <c r="E38" s="505">
        <f t="shared" si="19"/>
        <v>0</v>
      </c>
      <c r="F38" s="505">
        <f t="shared" si="19"/>
        <v>-4341</v>
      </c>
      <c r="G38" s="505">
        <f t="shared" si="19"/>
        <v>-4390.7</v>
      </c>
      <c r="H38" s="505">
        <f t="shared" si="19"/>
        <v>-4397</v>
      </c>
      <c r="I38" s="505">
        <f t="shared" si="19"/>
        <v>-4397</v>
      </c>
      <c r="J38" s="505">
        <f t="shared" si="19"/>
        <v>-2357</v>
      </c>
      <c r="K38" s="505">
        <f t="shared" si="19"/>
        <v>-4397</v>
      </c>
      <c r="L38" s="505">
        <f t="shared" si="19"/>
        <v>-4397</v>
      </c>
      <c r="M38" s="505">
        <f t="shared" si="19"/>
        <v>-2357</v>
      </c>
      <c r="N38" s="505">
        <f t="shared" si="19"/>
        <v>-3488</v>
      </c>
      <c r="O38" s="505">
        <f>O34-O30</f>
        <v>-3488</v>
      </c>
      <c r="P38" s="505">
        <f t="shared" ref="P38:V38" si="20">P34-P30</f>
        <v>2033.7</v>
      </c>
      <c r="Q38" s="505">
        <f t="shared" si="20"/>
        <v>0</v>
      </c>
      <c r="R38" s="505">
        <f t="shared" si="20"/>
        <v>0</v>
      </c>
      <c r="S38" s="505">
        <f t="shared" si="20"/>
        <v>0</v>
      </c>
      <c r="T38" s="505">
        <f t="shared" si="20"/>
        <v>0</v>
      </c>
      <c r="U38" s="505">
        <f t="shared" si="20"/>
        <v>0</v>
      </c>
      <c r="V38" s="505">
        <f t="shared" si="20"/>
        <v>0</v>
      </c>
      <c r="W38" s="506">
        <f t="shared" si="15"/>
        <v>-29698</v>
      </c>
      <c r="X38" s="507">
        <f>NPV($X$1,Сводный!B38:V38)</f>
        <v>-24033.733838055359</v>
      </c>
      <c r="Y38" s="508">
        <f>X37/X38</f>
        <v>-2.4154904113803397</v>
      </c>
    </row>
    <row r="39" spans="1:25" ht="15.75" thickBot="1" x14ac:dyDescent="0.3">
      <c r="W39" s="487">
        <f t="shared" si="15"/>
        <v>0</v>
      </c>
      <c r="X39" s="488">
        <f>NPV($X$1,Сводный!B39:V39)</f>
        <v>0</v>
      </c>
    </row>
    <row r="40" spans="1:25" x14ac:dyDescent="0.25">
      <c r="A40" s="3" t="s">
        <v>485</v>
      </c>
      <c r="B40" s="491">
        <f>'2сем'!B11</f>
        <v>0</v>
      </c>
      <c r="C40" s="491">
        <f>'2сем'!C11</f>
        <v>0</v>
      </c>
      <c r="D40" s="491">
        <f>'2сем'!D11</f>
        <v>0</v>
      </c>
      <c r="E40" s="491">
        <f>'2сем'!E11</f>
        <v>0</v>
      </c>
      <c r="F40" s="491">
        <f>'2сем'!F11</f>
        <v>0</v>
      </c>
      <c r="G40" s="491">
        <f>'2сем'!G11</f>
        <v>0</v>
      </c>
      <c r="H40" s="491">
        <f>'2сем'!H11</f>
        <v>0</v>
      </c>
      <c r="I40" s="491">
        <f>'2сем'!I11</f>
        <v>0</v>
      </c>
      <c r="J40" s="491">
        <f>'2сем'!J11</f>
        <v>0</v>
      </c>
      <c r="K40" s="491">
        <f>'2сем'!K11</f>
        <v>0</v>
      </c>
      <c r="L40" s="491">
        <f>'2сем'!L11</f>
        <v>0</v>
      </c>
      <c r="M40" s="491">
        <f>'2сем'!M11</f>
        <v>0</v>
      </c>
      <c r="N40" s="491">
        <f>'2сем'!N11</f>
        <v>0</v>
      </c>
      <c r="O40" s="491">
        <f>'2сем'!O11</f>
        <v>0</v>
      </c>
      <c r="P40" s="491">
        <f>'2сем'!P11</f>
        <v>0</v>
      </c>
      <c r="Q40" s="491">
        <f>'2сем'!Q11</f>
        <v>0</v>
      </c>
      <c r="R40" s="491">
        <f>'2сем'!R11</f>
        <v>0</v>
      </c>
      <c r="S40" s="491">
        <f>'2сем'!S11</f>
        <v>2040</v>
      </c>
      <c r="T40" s="491">
        <f>'2сем'!T11</f>
        <v>0</v>
      </c>
      <c r="U40" s="491">
        <f>'2сем'!U11</f>
        <v>0</v>
      </c>
      <c r="V40" s="491">
        <f>'2сем'!V11</f>
        <v>0</v>
      </c>
      <c r="W40" s="492">
        <f>SUM(B40:V40)</f>
        <v>2040</v>
      </c>
      <c r="X40" s="493">
        <f>NPV($X$1,Сводный!B40:V40)</f>
        <v>1428.325124929871</v>
      </c>
      <c r="Y40" s="360"/>
    </row>
    <row r="41" spans="1:25" x14ac:dyDescent="0.25">
      <c r="A41" s="7" t="s">
        <v>479</v>
      </c>
      <c r="B41" s="494">
        <f>'2сем'!B4+'2сем'!B10</f>
        <v>0</v>
      </c>
      <c r="C41" s="494">
        <f>'2сем'!C4+'2сем'!C10</f>
        <v>0</v>
      </c>
      <c r="D41" s="494">
        <f>'2сем'!D4+'2сем'!D10</f>
        <v>0</v>
      </c>
      <c r="E41" s="494">
        <f>'2сем'!E4+'2сем'!E10</f>
        <v>0</v>
      </c>
      <c r="F41" s="494">
        <f>'2сем'!F4+'2сем'!F10</f>
        <v>0</v>
      </c>
      <c r="G41" s="494">
        <f>'2сем'!G4+'2сем'!G10</f>
        <v>0</v>
      </c>
      <c r="H41" s="494">
        <f>'2сем'!H4+'2сем'!H10</f>
        <v>0</v>
      </c>
      <c r="I41" s="494">
        <f>'2сем'!I4+'2сем'!I10</f>
        <v>0</v>
      </c>
      <c r="J41" s="494">
        <f>'2сем'!J4+'2сем'!J10</f>
        <v>0</v>
      </c>
      <c r="K41" s="494">
        <f>'2сем'!K4+'2сем'!K10</f>
        <v>0</v>
      </c>
      <c r="L41" s="494">
        <f>'2сем'!L4+'2сем'!L10</f>
        <v>0</v>
      </c>
      <c r="M41" s="494">
        <f>'2сем'!M4+'2сем'!M10</f>
        <v>0</v>
      </c>
      <c r="N41" s="494">
        <f>'2сем'!N4+'2сем'!N10</f>
        <v>0</v>
      </c>
      <c r="O41" s="494">
        <f>'2сем'!O4+'2сем'!O10</f>
        <v>0</v>
      </c>
      <c r="P41" s="494">
        <f>'2сем'!P4+'2сем'!P10</f>
        <v>0</v>
      </c>
      <c r="Q41" s="494">
        <f>'2сем'!Q4+'2сем'!Q10</f>
        <v>0</v>
      </c>
      <c r="R41" s="494">
        <f>'2сем'!R4+'2сем'!R10</f>
        <v>800.00000000000011</v>
      </c>
      <c r="S41" s="494">
        <f>'2сем'!S4+'2сем'!S10</f>
        <v>800.00000000000011</v>
      </c>
      <c r="T41" s="494">
        <f>'2сем'!T4+'2сем'!T10</f>
        <v>0</v>
      </c>
      <c r="U41" s="494">
        <f>'2сем'!U4+'2сем'!U10</f>
        <v>0</v>
      </c>
      <c r="V41" s="494">
        <f>'2сем'!V4+'2сем'!V10</f>
        <v>0</v>
      </c>
      <c r="W41" s="495">
        <f t="shared" ref="W41:W49" si="21">SUM(B41:V41)</f>
        <v>1600.0000000000002</v>
      </c>
      <c r="X41" s="496">
        <f>NPV($X$1,Сводный!B41:V41)</f>
        <v>1131.457549944447</v>
      </c>
      <c r="Y41" s="361"/>
    </row>
    <row r="42" spans="1:25" x14ac:dyDescent="0.25">
      <c r="A42" s="7" t="s">
        <v>480</v>
      </c>
      <c r="B42" s="494">
        <f>B40-B41</f>
        <v>0</v>
      </c>
      <c r="C42" s="494">
        <f t="shared" ref="C42:V42" si="22">C40-C41</f>
        <v>0</v>
      </c>
      <c r="D42" s="494">
        <f t="shared" si="22"/>
        <v>0</v>
      </c>
      <c r="E42" s="494">
        <f t="shared" si="22"/>
        <v>0</v>
      </c>
      <c r="F42" s="494">
        <f t="shared" si="22"/>
        <v>0</v>
      </c>
      <c r="G42" s="494">
        <f t="shared" si="22"/>
        <v>0</v>
      </c>
      <c r="H42" s="494">
        <f t="shared" si="22"/>
        <v>0</v>
      </c>
      <c r="I42" s="494">
        <f t="shared" si="22"/>
        <v>0</v>
      </c>
      <c r="J42" s="494">
        <f t="shared" si="22"/>
        <v>0</v>
      </c>
      <c r="K42" s="494">
        <f t="shared" si="22"/>
        <v>0</v>
      </c>
      <c r="L42" s="494">
        <f t="shared" si="22"/>
        <v>0</v>
      </c>
      <c r="M42" s="494">
        <f t="shared" si="22"/>
        <v>0</v>
      </c>
      <c r="N42" s="494">
        <f t="shared" si="22"/>
        <v>0</v>
      </c>
      <c r="O42" s="494">
        <f t="shared" si="22"/>
        <v>0</v>
      </c>
      <c r="P42" s="494">
        <f t="shared" si="22"/>
        <v>0</v>
      </c>
      <c r="Q42" s="494">
        <f t="shared" si="22"/>
        <v>0</v>
      </c>
      <c r="R42" s="494">
        <f t="shared" si="22"/>
        <v>-800.00000000000011</v>
      </c>
      <c r="S42" s="494">
        <f t="shared" si="22"/>
        <v>1240</v>
      </c>
      <c r="T42" s="494">
        <f t="shared" si="22"/>
        <v>0</v>
      </c>
      <c r="U42" s="494">
        <f t="shared" si="22"/>
        <v>0</v>
      </c>
      <c r="V42" s="494">
        <f t="shared" si="22"/>
        <v>0</v>
      </c>
      <c r="W42" s="495">
        <f t="shared" si="21"/>
        <v>439.99999999999989</v>
      </c>
      <c r="X42" s="496">
        <f>NPV($X$1,Сводный!B42:V42)</f>
        <v>296.86757498542408</v>
      </c>
      <c r="Y42" s="361">
        <f>X41/X42</f>
        <v>3.811320754716983</v>
      </c>
    </row>
    <row r="43" spans="1:25" x14ac:dyDescent="0.25">
      <c r="A43" s="497" t="s">
        <v>481</v>
      </c>
      <c r="B43" s="498">
        <f>B42-B6</f>
        <v>0</v>
      </c>
      <c r="C43" s="498">
        <f t="shared" ref="C43:V43" si="23">C42-C6</f>
        <v>0</v>
      </c>
      <c r="D43" s="498">
        <f t="shared" si="23"/>
        <v>0</v>
      </c>
      <c r="E43" s="498">
        <f t="shared" si="23"/>
        <v>0</v>
      </c>
      <c r="F43" s="498">
        <f t="shared" si="23"/>
        <v>0</v>
      </c>
      <c r="G43" s="498">
        <f t="shared" si="23"/>
        <v>0</v>
      </c>
      <c r="H43" s="498">
        <f t="shared" si="23"/>
        <v>0</v>
      </c>
      <c r="I43" s="498">
        <f t="shared" si="23"/>
        <v>0</v>
      </c>
      <c r="J43" s="498">
        <f t="shared" si="23"/>
        <v>0</v>
      </c>
      <c r="K43" s="498">
        <f t="shared" si="23"/>
        <v>0</v>
      </c>
      <c r="L43" s="498">
        <f t="shared" si="23"/>
        <v>0</v>
      </c>
      <c r="M43" s="498">
        <f t="shared" si="23"/>
        <v>0</v>
      </c>
      <c r="N43" s="498">
        <f t="shared" si="23"/>
        <v>0</v>
      </c>
      <c r="O43" s="498">
        <f t="shared" si="23"/>
        <v>0</v>
      </c>
      <c r="P43" s="498">
        <f t="shared" si="23"/>
        <v>0</v>
      </c>
      <c r="Q43" s="498">
        <f t="shared" si="23"/>
        <v>0</v>
      </c>
      <c r="R43" s="498">
        <f t="shared" si="23"/>
        <v>0</v>
      </c>
      <c r="S43" s="498">
        <f t="shared" si="23"/>
        <v>0</v>
      </c>
      <c r="T43" s="498">
        <f t="shared" si="23"/>
        <v>0</v>
      </c>
      <c r="U43" s="498">
        <f t="shared" si="23"/>
        <v>0</v>
      </c>
      <c r="V43" s="498">
        <f t="shared" si="23"/>
        <v>0</v>
      </c>
      <c r="W43" s="499">
        <f t="shared" si="21"/>
        <v>0</v>
      </c>
      <c r="X43" s="500">
        <f>NPV($X$1,Сводный!B43:V43)</f>
        <v>0</v>
      </c>
      <c r="Y43" s="501"/>
    </row>
    <row r="44" spans="1:25" x14ac:dyDescent="0.25">
      <c r="A44" s="7" t="s">
        <v>486</v>
      </c>
      <c r="B44" s="494">
        <f>'2сем'!B30</f>
        <v>0</v>
      </c>
      <c r="C44" s="494">
        <f>'2сем'!C30</f>
        <v>0</v>
      </c>
      <c r="D44" s="494">
        <f>'2сем'!D30</f>
        <v>0</v>
      </c>
      <c r="E44" s="494">
        <f>'2сем'!E30</f>
        <v>0</v>
      </c>
      <c r="F44" s="494">
        <f>'2сем'!F30</f>
        <v>0</v>
      </c>
      <c r="G44" s="494">
        <f>'2сем'!G30</f>
        <v>0</v>
      </c>
      <c r="H44" s="494">
        <f>'2сем'!H30</f>
        <v>0</v>
      </c>
      <c r="I44" s="494">
        <f>'2сем'!I30</f>
        <v>0</v>
      </c>
      <c r="J44" s="494">
        <f>'2сем'!J30</f>
        <v>2040</v>
      </c>
      <c r="K44" s="494">
        <f>'2сем'!K30</f>
        <v>0</v>
      </c>
      <c r="L44" s="494">
        <f>'2сем'!L30</f>
        <v>0</v>
      </c>
      <c r="M44" s="494">
        <f>'2сем'!M30</f>
        <v>2040</v>
      </c>
      <c r="N44" s="494">
        <f>'2сем'!N30</f>
        <v>0</v>
      </c>
      <c r="O44" s="494">
        <f>'2сем'!O30</f>
        <v>0</v>
      </c>
      <c r="P44" s="494">
        <f>'2сем'!P30</f>
        <v>2040</v>
      </c>
      <c r="Q44" s="494">
        <f>'2сем'!Q30</f>
        <v>0</v>
      </c>
      <c r="R44" s="494">
        <f>'2сем'!R30</f>
        <v>0</v>
      </c>
      <c r="S44" s="494">
        <f>'2сем'!S30</f>
        <v>2040</v>
      </c>
      <c r="T44" s="494">
        <f>'2сем'!T30</f>
        <v>0</v>
      </c>
      <c r="U44" s="494">
        <f>'2сем'!U30</f>
        <v>0</v>
      </c>
      <c r="V44" s="494">
        <f>'2сем'!V30</f>
        <v>0</v>
      </c>
      <c r="W44" s="495">
        <f t="shared" si="21"/>
        <v>8160</v>
      </c>
      <c r="X44" s="496">
        <f>NPV($X$1,Сводный!B44:V44)</f>
        <v>6259.5819946732508</v>
      </c>
      <c r="Y44" s="361"/>
    </row>
    <row r="45" spans="1:25" x14ac:dyDescent="0.25">
      <c r="A45" s="7" t="s">
        <v>479</v>
      </c>
      <c r="B45" s="494">
        <f>'2сем'!B21+'2сем'!B29</f>
        <v>0</v>
      </c>
      <c r="C45" s="494">
        <f>'2сем'!C21+'2сем'!C29</f>
        <v>0</v>
      </c>
      <c r="D45" s="494">
        <f>'2сем'!D21+'2сем'!D29</f>
        <v>0</v>
      </c>
      <c r="E45" s="494">
        <f>'2сем'!E21+'2сем'!E29</f>
        <v>0</v>
      </c>
      <c r="F45" s="494">
        <f>'2сем'!F21+'2сем'!F29</f>
        <v>0</v>
      </c>
      <c r="G45" s="494">
        <f>'2сем'!G21+'2сем'!G29</f>
        <v>0</v>
      </c>
      <c r="H45" s="494">
        <f>'2сем'!H21+'2сем'!H29</f>
        <v>0</v>
      </c>
      <c r="I45" s="494">
        <f>'2сем'!I21+'2сем'!I29</f>
        <v>800.00000000000011</v>
      </c>
      <c r="J45" s="494">
        <f>'2сем'!J21+'2сем'!J29</f>
        <v>800.00000000000011</v>
      </c>
      <c r="K45" s="494">
        <f>'2сем'!K21+'2сем'!K29</f>
        <v>0</v>
      </c>
      <c r="L45" s="494">
        <f>'2сем'!L21+'2сем'!L29</f>
        <v>800.00000000000011</v>
      </c>
      <c r="M45" s="494">
        <f>'2сем'!M21+'2сем'!M29</f>
        <v>800.00000000000011</v>
      </c>
      <c r="N45" s="494">
        <f>'2сем'!N21+'2сем'!N29</f>
        <v>0</v>
      </c>
      <c r="O45" s="494">
        <f>'2сем'!O21+'2сем'!O29</f>
        <v>800.00000000000011</v>
      </c>
      <c r="P45" s="494">
        <f>'2сем'!P21+'2сем'!P29</f>
        <v>800.00000000000011</v>
      </c>
      <c r="Q45" s="494">
        <f>'2сем'!Q21+'2сем'!Q29</f>
        <v>0</v>
      </c>
      <c r="R45" s="494">
        <f>'2сем'!R21+'2сем'!R29</f>
        <v>800.00000000000011</v>
      </c>
      <c r="S45" s="494">
        <f>'2сем'!S21+'2сем'!S29</f>
        <v>800.00000000000011</v>
      </c>
      <c r="T45" s="494">
        <f>'2сем'!T21+'2сем'!T29</f>
        <v>0</v>
      </c>
      <c r="U45" s="494">
        <f>'2сем'!U21+'2сем'!U29</f>
        <v>0</v>
      </c>
      <c r="V45" s="494">
        <f>'2сем'!V21+'2сем'!V29</f>
        <v>0</v>
      </c>
      <c r="W45" s="495">
        <f t="shared" si="21"/>
        <v>6400.0000000000009</v>
      </c>
      <c r="X45" s="496">
        <f>NPV($X$1,Сводный!B45:V45)</f>
        <v>4958.5708349960669</v>
      </c>
      <c r="Y45" s="361"/>
    </row>
    <row r="46" spans="1:25" x14ac:dyDescent="0.25">
      <c r="A46" s="7" t="s">
        <v>480</v>
      </c>
      <c r="B46" s="494">
        <f>B44-B45</f>
        <v>0</v>
      </c>
      <c r="C46" s="494">
        <f t="shared" ref="C46:V46" si="24">C44-C45</f>
        <v>0</v>
      </c>
      <c r="D46" s="494">
        <f t="shared" si="24"/>
        <v>0</v>
      </c>
      <c r="E46" s="494">
        <f t="shared" si="24"/>
        <v>0</v>
      </c>
      <c r="F46" s="494">
        <f t="shared" si="24"/>
        <v>0</v>
      </c>
      <c r="G46" s="494">
        <f t="shared" si="24"/>
        <v>0</v>
      </c>
      <c r="H46" s="494">
        <f t="shared" si="24"/>
        <v>0</v>
      </c>
      <c r="I46" s="494">
        <f t="shared" si="24"/>
        <v>-800.00000000000011</v>
      </c>
      <c r="J46" s="494">
        <f t="shared" si="24"/>
        <v>1240</v>
      </c>
      <c r="K46" s="494">
        <f t="shared" si="24"/>
        <v>0</v>
      </c>
      <c r="L46" s="494">
        <f t="shared" si="24"/>
        <v>-800.00000000000011</v>
      </c>
      <c r="M46" s="494">
        <f t="shared" si="24"/>
        <v>1240</v>
      </c>
      <c r="N46" s="494">
        <f t="shared" si="24"/>
        <v>0</v>
      </c>
      <c r="O46" s="494">
        <f t="shared" si="24"/>
        <v>-800.00000000000011</v>
      </c>
      <c r="P46" s="494">
        <f t="shared" si="24"/>
        <v>1240</v>
      </c>
      <c r="Q46" s="494">
        <f t="shared" si="24"/>
        <v>0</v>
      </c>
      <c r="R46" s="494">
        <f t="shared" si="24"/>
        <v>-800.00000000000011</v>
      </c>
      <c r="S46" s="494">
        <f t="shared" si="24"/>
        <v>1240</v>
      </c>
      <c r="T46" s="494">
        <f t="shared" si="24"/>
        <v>0</v>
      </c>
      <c r="U46" s="494">
        <f t="shared" si="24"/>
        <v>0</v>
      </c>
      <c r="V46" s="494">
        <f t="shared" si="24"/>
        <v>0</v>
      </c>
      <c r="W46" s="495">
        <f t="shared" si="21"/>
        <v>1759.9999999999995</v>
      </c>
      <c r="X46" s="496">
        <f>NPV($X$1,Сводный!B46:V46)</f>
        <v>1301.0111596771853</v>
      </c>
      <c r="Y46" s="361">
        <f>X45/X46</f>
        <v>3.8113207547169825</v>
      </c>
    </row>
    <row r="47" spans="1:25" x14ac:dyDescent="0.25">
      <c r="A47" s="497" t="s">
        <v>481</v>
      </c>
      <c r="B47" s="498">
        <f>B10-B46</f>
        <v>0</v>
      </c>
      <c r="C47" s="498">
        <f t="shared" ref="C47:V47" si="25">C10-C46</f>
        <v>0</v>
      </c>
      <c r="D47" s="498">
        <f t="shared" si="25"/>
        <v>0</v>
      </c>
      <c r="E47" s="498">
        <f t="shared" si="25"/>
        <v>0</v>
      </c>
      <c r="F47" s="498">
        <f t="shared" si="25"/>
        <v>0</v>
      </c>
      <c r="G47" s="498">
        <f t="shared" si="25"/>
        <v>0</v>
      </c>
      <c r="H47" s="498">
        <f t="shared" si="25"/>
        <v>0</v>
      </c>
      <c r="I47" s="498">
        <f t="shared" si="25"/>
        <v>0</v>
      </c>
      <c r="J47" s="498">
        <f t="shared" si="25"/>
        <v>0</v>
      </c>
      <c r="K47" s="498">
        <f t="shared" si="25"/>
        <v>0</v>
      </c>
      <c r="L47" s="498">
        <f t="shared" si="25"/>
        <v>0</v>
      </c>
      <c r="M47" s="498">
        <f t="shared" si="25"/>
        <v>0</v>
      </c>
      <c r="N47" s="498">
        <f t="shared" si="25"/>
        <v>0</v>
      </c>
      <c r="O47" s="498">
        <f t="shared" si="25"/>
        <v>0</v>
      </c>
      <c r="P47" s="498">
        <f t="shared" si="25"/>
        <v>0</v>
      </c>
      <c r="Q47" s="498">
        <f t="shared" si="25"/>
        <v>0</v>
      </c>
      <c r="R47" s="498">
        <f t="shared" si="25"/>
        <v>0</v>
      </c>
      <c r="S47" s="498">
        <f t="shared" si="25"/>
        <v>0</v>
      </c>
      <c r="T47" s="498">
        <f t="shared" si="25"/>
        <v>0</v>
      </c>
      <c r="U47" s="498">
        <f t="shared" si="25"/>
        <v>0</v>
      </c>
      <c r="V47" s="498">
        <f t="shared" si="25"/>
        <v>0</v>
      </c>
      <c r="W47" s="502">
        <f t="shared" si="21"/>
        <v>0</v>
      </c>
      <c r="X47" s="503">
        <f>NPV($X$1,Сводный!B47:V47)</f>
        <v>0</v>
      </c>
      <c r="Y47" s="504"/>
    </row>
    <row r="48" spans="1:25" x14ac:dyDescent="0.25">
      <c r="A48" s="7" t="s">
        <v>487</v>
      </c>
      <c r="B48" s="480">
        <f t="shared" ref="B48:N48" si="26">B44-B40</f>
        <v>0</v>
      </c>
      <c r="C48" s="480">
        <f t="shared" si="26"/>
        <v>0</v>
      </c>
      <c r="D48" s="480">
        <f t="shared" si="26"/>
        <v>0</v>
      </c>
      <c r="E48" s="480">
        <f t="shared" si="26"/>
        <v>0</v>
      </c>
      <c r="F48" s="480">
        <f t="shared" si="26"/>
        <v>0</v>
      </c>
      <c r="G48" s="480">
        <f t="shared" si="26"/>
        <v>0</v>
      </c>
      <c r="H48" s="480">
        <f t="shared" si="26"/>
        <v>0</v>
      </c>
      <c r="I48" s="480">
        <f t="shared" si="26"/>
        <v>0</v>
      </c>
      <c r="J48" s="480">
        <f t="shared" si="26"/>
        <v>2040</v>
      </c>
      <c r="K48" s="480">
        <f t="shared" si="26"/>
        <v>0</v>
      </c>
      <c r="L48" s="480">
        <f t="shared" si="26"/>
        <v>0</v>
      </c>
      <c r="M48" s="480">
        <f t="shared" si="26"/>
        <v>2040</v>
      </c>
      <c r="N48" s="480">
        <f t="shared" si="26"/>
        <v>0</v>
      </c>
      <c r="O48" s="480">
        <f>O44-O40</f>
        <v>0</v>
      </c>
      <c r="P48" s="480">
        <f t="shared" ref="P48:V48" si="27">P44-P40</f>
        <v>2040</v>
      </c>
      <c r="Q48" s="480">
        <f t="shared" si="27"/>
        <v>0</v>
      </c>
      <c r="R48" s="480">
        <f t="shared" si="27"/>
        <v>0</v>
      </c>
      <c r="S48" s="480">
        <f t="shared" si="27"/>
        <v>0</v>
      </c>
      <c r="T48" s="480">
        <f t="shared" si="27"/>
        <v>0</v>
      </c>
      <c r="U48" s="480">
        <f t="shared" si="27"/>
        <v>0</v>
      </c>
      <c r="V48" s="480">
        <f t="shared" si="27"/>
        <v>0</v>
      </c>
      <c r="W48" s="495">
        <f t="shared" si="21"/>
        <v>6120</v>
      </c>
      <c r="X48" s="496">
        <f>NPV($X$1,Сводный!B48:V48)</f>
        <v>4831.2568697433799</v>
      </c>
      <c r="Y48" s="361"/>
    </row>
    <row r="49" spans="1:25" ht="15.75" thickBot="1" x14ac:dyDescent="0.3">
      <c r="A49" s="17" t="s">
        <v>492</v>
      </c>
      <c r="B49" s="505">
        <f t="shared" ref="B49:N49" si="28">B45-B41</f>
        <v>0</v>
      </c>
      <c r="C49" s="505">
        <f t="shared" si="28"/>
        <v>0</v>
      </c>
      <c r="D49" s="505">
        <f t="shared" si="28"/>
        <v>0</v>
      </c>
      <c r="E49" s="505">
        <f t="shared" si="28"/>
        <v>0</v>
      </c>
      <c r="F49" s="505">
        <f t="shared" si="28"/>
        <v>0</v>
      </c>
      <c r="G49" s="505">
        <f t="shared" si="28"/>
        <v>0</v>
      </c>
      <c r="H49" s="505">
        <f t="shared" si="28"/>
        <v>0</v>
      </c>
      <c r="I49" s="505">
        <f t="shared" si="28"/>
        <v>800.00000000000011</v>
      </c>
      <c r="J49" s="505">
        <f t="shared" si="28"/>
        <v>800.00000000000011</v>
      </c>
      <c r="K49" s="505">
        <f t="shared" si="28"/>
        <v>0</v>
      </c>
      <c r="L49" s="505">
        <f t="shared" si="28"/>
        <v>800.00000000000011</v>
      </c>
      <c r="M49" s="505">
        <f t="shared" si="28"/>
        <v>800.00000000000011</v>
      </c>
      <c r="N49" s="505">
        <f t="shared" si="28"/>
        <v>0</v>
      </c>
      <c r="O49" s="505">
        <f>O45-O41</f>
        <v>800.00000000000011</v>
      </c>
      <c r="P49" s="505">
        <f t="shared" ref="P49:V49" si="29">P45-P41</f>
        <v>800.00000000000011</v>
      </c>
      <c r="Q49" s="505">
        <f t="shared" si="29"/>
        <v>0</v>
      </c>
      <c r="R49" s="505">
        <f t="shared" si="29"/>
        <v>0</v>
      </c>
      <c r="S49" s="505">
        <f t="shared" si="29"/>
        <v>0</v>
      </c>
      <c r="T49" s="505">
        <f t="shared" si="29"/>
        <v>0</v>
      </c>
      <c r="U49" s="505">
        <f t="shared" si="29"/>
        <v>0</v>
      </c>
      <c r="V49" s="505">
        <f t="shared" si="29"/>
        <v>0</v>
      </c>
      <c r="W49" s="506">
        <f t="shared" si="21"/>
        <v>4800.0000000000009</v>
      </c>
      <c r="X49" s="507">
        <f>NPV($X$1,Сводный!B49:V49)</f>
        <v>3827.1132850516196</v>
      </c>
      <c r="Y49" s="508">
        <f>X48/X49</f>
        <v>1.2623762376237619</v>
      </c>
    </row>
    <row r="50" spans="1:25" ht="15.75" thickBot="1" x14ac:dyDescent="0.3"/>
    <row r="51" spans="1:25" s="188" customFormat="1" x14ac:dyDescent="0.25">
      <c r="A51" s="386" t="s">
        <v>488</v>
      </c>
      <c r="B51" s="509">
        <f>'3товар'!B6</f>
        <v>2805</v>
      </c>
      <c r="C51" s="509">
        <f>'3товар'!C6</f>
        <v>2805</v>
      </c>
      <c r="D51" s="509">
        <f>'3товар'!D6</f>
        <v>2805</v>
      </c>
      <c r="E51" s="509">
        <f>'3товар'!E6</f>
        <v>2805</v>
      </c>
      <c r="F51" s="509">
        <f>'3товар'!F6</f>
        <v>2805</v>
      </c>
      <c r="G51" s="509">
        <f>'3товар'!G6</f>
        <v>2805</v>
      </c>
      <c r="H51" s="509">
        <f>'3товар'!H6</f>
        <v>2805</v>
      </c>
      <c r="I51" s="509">
        <f>'3товар'!I6</f>
        <v>2805</v>
      </c>
      <c r="J51" s="509">
        <f>'3товар'!J6</f>
        <v>2805</v>
      </c>
      <c r="K51" s="509">
        <f>'3товар'!K6</f>
        <v>2805</v>
      </c>
      <c r="L51" s="509">
        <f>'3товар'!L6</f>
        <v>2805</v>
      </c>
      <c r="M51" s="509">
        <f>'3товар'!M6</f>
        <v>2805</v>
      </c>
      <c r="N51" s="509">
        <f>'3товар'!N6</f>
        <v>2805</v>
      </c>
      <c r="O51" s="509">
        <f>'3товар'!O6</f>
        <v>2805</v>
      </c>
      <c r="P51" s="509">
        <f>'3товар'!P6</f>
        <v>2805</v>
      </c>
      <c r="Q51" s="509">
        <f>'3товар'!Q6</f>
        <v>2805</v>
      </c>
      <c r="R51" s="509">
        <f>'3товар'!R6</f>
        <v>2805</v>
      </c>
      <c r="S51" s="509">
        <f>'3товар'!S6</f>
        <v>2805</v>
      </c>
      <c r="T51" s="509">
        <f>'3товар'!T6</f>
        <v>2805</v>
      </c>
      <c r="U51" s="509">
        <f>'3товар'!U6</f>
        <v>2805</v>
      </c>
      <c r="V51" s="509">
        <f>'3товар'!V6</f>
        <v>2805</v>
      </c>
      <c r="W51" s="492">
        <f>SUM(B51:V51)</f>
        <v>58905</v>
      </c>
      <c r="X51" s="493">
        <f>NPV($X$1,Сводный!B51:V51)</f>
        <v>47716.441697642047</v>
      </c>
      <c r="Y51" s="510"/>
    </row>
    <row r="52" spans="1:25" s="188" customFormat="1" x14ac:dyDescent="0.25">
      <c r="A52" s="511" t="s">
        <v>479</v>
      </c>
      <c r="B52" s="512">
        <f>'3товар'!B4+'3товар'!B5</f>
        <v>935</v>
      </c>
      <c r="C52" s="512">
        <f>'3товар'!C4+'3товар'!C5</f>
        <v>935</v>
      </c>
      <c r="D52" s="512">
        <f>'3товар'!D4+'3товар'!D5</f>
        <v>935</v>
      </c>
      <c r="E52" s="512">
        <f>'3товар'!E4+'3товар'!E5</f>
        <v>935</v>
      </c>
      <c r="F52" s="512">
        <f>'3товар'!F4+'3товар'!F5</f>
        <v>935</v>
      </c>
      <c r="G52" s="512">
        <f>'3товар'!G4+'3товар'!G5</f>
        <v>935</v>
      </c>
      <c r="H52" s="512">
        <f>'3товар'!H4+'3товар'!H5</f>
        <v>935</v>
      </c>
      <c r="I52" s="512">
        <f>'3товар'!I4+'3товар'!I5</f>
        <v>935</v>
      </c>
      <c r="J52" s="512">
        <f>'3товар'!J4+'3товар'!J5</f>
        <v>935</v>
      </c>
      <c r="K52" s="512">
        <f>'3товар'!K4+'3товар'!K5</f>
        <v>935</v>
      </c>
      <c r="L52" s="512">
        <f>'3товар'!L4+'3товар'!L5</f>
        <v>935</v>
      </c>
      <c r="M52" s="512">
        <f>'3товар'!M4+'3товар'!M5</f>
        <v>935</v>
      </c>
      <c r="N52" s="512">
        <f>'3товар'!N4+'3товар'!N5</f>
        <v>935</v>
      </c>
      <c r="O52" s="512">
        <f>'3товар'!O4+'3товар'!O5</f>
        <v>935</v>
      </c>
      <c r="P52" s="512">
        <f>'3товар'!P4+'3товар'!P5</f>
        <v>935</v>
      </c>
      <c r="Q52" s="512">
        <f>'3товар'!Q4+'3товар'!Q5</f>
        <v>935</v>
      </c>
      <c r="R52" s="512">
        <f>'3товар'!R4+'3товар'!R5</f>
        <v>935</v>
      </c>
      <c r="S52" s="512">
        <f>'3товар'!S4+'3товар'!S5</f>
        <v>935</v>
      </c>
      <c r="T52" s="512">
        <f>'3товар'!T4+'3товар'!T5</f>
        <v>884</v>
      </c>
      <c r="U52" s="512">
        <f>'3товар'!U4+'3товар'!U5</f>
        <v>884</v>
      </c>
      <c r="V52" s="512">
        <f>'3товар'!V4+'3товар'!V5</f>
        <v>884</v>
      </c>
      <c r="W52" s="495">
        <f t="shared" ref="W52:W60" si="30">SUM(B52:V52)</f>
        <v>19482</v>
      </c>
      <c r="X52" s="496">
        <f>NPV($X$1,Сводный!B52:V52)</f>
        <v>15802.502492488493</v>
      </c>
      <c r="Y52" s="513"/>
    </row>
    <row r="53" spans="1:25" s="188" customFormat="1" x14ac:dyDescent="0.25">
      <c r="A53" s="511" t="s">
        <v>480</v>
      </c>
      <c r="B53" s="512">
        <f t="shared" ref="B53:V53" si="31">B51-B52</f>
        <v>1870</v>
      </c>
      <c r="C53" s="512">
        <f t="shared" si="31"/>
        <v>1870</v>
      </c>
      <c r="D53" s="512">
        <f t="shared" si="31"/>
        <v>1870</v>
      </c>
      <c r="E53" s="512">
        <f t="shared" si="31"/>
        <v>1870</v>
      </c>
      <c r="F53" s="512">
        <f t="shared" si="31"/>
        <v>1870</v>
      </c>
      <c r="G53" s="512">
        <f t="shared" si="31"/>
        <v>1870</v>
      </c>
      <c r="H53" s="512">
        <f t="shared" si="31"/>
        <v>1870</v>
      </c>
      <c r="I53" s="512">
        <f t="shared" si="31"/>
        <v>1870</v>
      </c>
      <c r="J53" s="512">
        <f t="shared" si="31"/>
        <v>1870</v>
      </c>
      <c r="K53" s="512">
        <f t="shared" si="31"/>
        <v>1870</v>
      </c>
      <c r="L53" s="512">
        <f t="shared" si="31"/>
        <v>1870</v>
      </c>
      <c r="M53" s="512">
        <f t="shared" si="31"/>
        <v>1870</v>
      </c>
      <c r="N53" s="512">
        <f t="shared" si="31"/>
        <v>1870</v>
      </c>
      <c r="O53" s="512">
        <f t="shared" si="31"/>
        <v>1870</v>
      </c>
      <c r="P53" s="512">
        <f t="shared" si="31"/>
        <v>1870</v>
      </c>
      <c r="Q53" s="512">
        <f t="shared" si="31"/>
        <v>1870</v>
      </c>
      <c r="R53" s="512">
        <f t="shared" si="31"/>
        <v>1870</v>
      </c>
      <c r="S53" s="512">
        <f t="shared" si="31"/>
        <v>1870</v>
      </c>
      <c r="T53" s="512">
        <f t="shared" si="31"/>
        <v>1921</v>
      </c>
      <c r="U53" s="512">
        <f t="shared" si="31"/>
        <v>1921</v>
      </c>
      <c r="V53" s="512">
        <f t="shared" si="31"/>
        <v>1921</v>
      </c>
      <c r="W53" s="495">
        <f t="shared" si="30"/>
        <v>39423</v>
      </c>
      <c r="X53" s="496">
        <f>NPV($X$1,Сводный!B53:V53)</f>
        <v>31913.939205153569</v>
      </c>
      <c r="Y53" s="513">
        <f>X52/X53</f>
        <v>0.49515988580741083</v>
      </c>
    </row>
    <row r="54" spans="1:25" s="188" customFormat="1" x14ac:dyDescent="0.25">
      <c r="A54" s="514" t="s">
        <v>481</v>
      </c>
      <c r="B54" s="515">
        <f>B7/1000-B53</f>
        <v>0</v>
      </c>
      <c r="C54" s="515">
        <f t="shared" ref="C54:V54" si="32">C7/1000-C53</f>
        <v>0</v>
      </c>
      <c r="D54" s="515">
        <f t="shared" si="32"/>
        <v>0</v>
      </c>
      <c r="E54" s="515">
        <f t="shared" si="32"/>
        <v>0</v>
      </c>
      <c r="F54" s="515">
        <f t="shared" si="32"/>
        <v>0</v>
      </c>
      <c r="G54" s="515">
        <f t="shared" si="32"/>
        <v>0</v>
      </c>
      <c r="H54" s="515">
        <f t="shared" si="32"/>
        <v>0</v>
      </c>
      <c r="I54" s="515">
        <f t="shared" si="32"/>
        <v>0</v>
      </c>
      <c r="J54" s="515">
        <f t="shared" si="32"/>
        <v>0</v>
      </c>
      <c r="K54" s="515">
        <f t="shared" si="32"/>
        <v>0</v>
      </c>
      <c r="L54" s="515">
        <f t="shared" si="32"/>
        <v>0</v>
      </c>
      <c r="M54" s="515">
        <f t="shared" si="32"/>
        <v>0</v>
      </c>
      <c r="N54" s="515">
        <f t="shared" si="32"/>
        <v>0</v>
      </c>
      <c r="O54" s="515">
        <f t="shared" si="32"/>
        <v>0</v>
      </c>
      <c r="P54" s="515">
        <f t="shared" si="32"/>
        <v>0</v>
      </c>
      <c r="Q54" s="515">
        <f t="shared" si="32"/>
        <v>0</v>
      </c>
      <c r="R54" s="515">
        <f t="shared" si="32"/>
        <v>0</v>
      </c>
      <c r="S54" s="515">
        <f t="shared" si="32"/>
        <v>0</v>
      </c>
      <c r="T54" s="515">
        <f t="shared" si="32"/>
        <v>0</v>
      </c>
      <c r="U54" s="515">
        <f t="shared" si="32"/>
        <v>0</v>
      </c>
      <c r="V54" s="515">
        <f t="shared" si="32"/>
        <v>0</v>
      </c>
      <c r="W54" s="499">
        <f t="shared" si="30"/>
        <v>0</v>
      </c>
      <c r="X54" s="500">
        <f>NPV($X$1,Сводный!B54:V54)</f>
        <v>0</v>
      </c>
      <c r="Y54" s="516"/>
    </row>
    <row r="55" spans="1:25" s="188" customFormat="1" x14ac:dyDescent="0.25">
      <c r="A55" s="511" t="s">
        <v>489</v>
      </c>
      <c r="B55" s="512">
        <f>'3товар'!B17</f>
        <v>2805</v>
      </c>
      <c r="C55" s="512">
        <f>'3товар'!C17</f>
        <v>2805</v>
      </c>
      <c r="D55" s="512">
        <f>'3товар'!D17</f>
        <v>2805</v>
      </c>
      <c r="E55" s="512">
        <f>'3товар'!E17</f>
        <v>2805</v>
      </c>
      <c r="F55" s="512">
        <f>'3товар'!F17</f>
        <v>2805</v>
      </c>
      <c r="G55" s="512">
        <f>'3товар'!G17</f>
        <v>2805</v>
      </c>
      <c r="H55" s="512">
        <f>'3товар'!H17</f>
        <v>2805</v>
      </c>
      <c r="I55" s="512">
        <f>'3товар'!I17</f>
        <v>2805</v>
      </c>
      <c r="J55" s="512">
        <f>'3товар'!J17</f>
        <v>2805</v>
      </c>
      <c r="K55" s="512">
        <f>'3товар'!K17</f>
        <v>2805</v>
      </c>
      <c r="L55" s="512">
        <f>'3товар'!L17</f>
        <v>2805</v>
      </c>
      <c r="M55" s="512">
        <f>'3товар'!M17</f>
        <v>2805</v>
      </c>
      <c r="N55" s="512">
        <f>'3товар'!N17</f>
        <v>2805</v>
      </c>
      <c r="O55" s="512">
        <f>'3товар'!O17</f>
        <v>2805</v>
      </c>
      <c r="P55" s="512">
        <f>'3товар'!P17</f>
        <v>2805</v>
      </c>
      <c r="Q55" s="512">
        <f>'3товар'!Q17</f>
        <v>2805</v>
      </c>
      <c r="R55" s="512">
        <f>'3товар'!R17</f>
        <v>2805</v>
      </c>
      <c r="S55" s="512">
        <f>'3товар'!S17</f>
        <v>2805</v>
      </c>
      <c r="T55" s="512">
        <f>'3товар'!T17</f>
        <v>2805</v>
      </c>
      <c r="U55" s="512">
        <f>'3товар'!U17</f>
        <v>2805</v>
      </c>
      <c r="V55" s="512">
        <f>'3товар'!V17</f>
        <v>2805</v>
      </c>
      <c r="W55" s="495">
        <f t="shared" si="30"/>
        <v>58905</v>
      </c>
      <c r="X55" s="496">
        <f>NPV($X$1,Сводный!B55:V55)</f>
        <v>47716.441697642047</v>
      </c>
      <c r="Y55" s="513"/>
    </row>
    <row r="56" spans="1:25" s="188" customFormat="1" x14ac:dyDescent="0.25">
      <c r="A56" s="511" t="s">
        <v>479</v>
      </c>
      <c r="B56" s="512">
        <f>'3товар'!B15+'3товар'!B16</f>
        <v>935</v>
      </c>
      <c r="C56" s="512">
        <f>'3товар'!C15+'3товар'!C16</f>
        <v>935</v>
      </c>
      <c r="D56" s="512">
        <f>'3товар'!D15+'3товар'!D16</f>
        <v>935</v>
      </c>
      <c r="E56" s="512">
        <f>'3товар'!E15+'3товар'!E16</f>
        <v>935</v>
      </c>
      <c r="F56" s="512">
        <f>'3товар'!F15+'3товар'!F16</f>
        <v>935</v>
      </c>
      <c r="G56" s="512">
        <f>'3товар'!G15+'3товар'!G16</f>
        <v>935</v>
      </c>
      <c r="H56" s="512">
        <f>'3товар'!H15+'3товар'!H16</f>
        <v>935</v>
      </c>
      <c r="I56" s="512">
        <f>'3товар'!I15+'3товар'!I16</f>
        <v>935</v>
      </c>
      <c r="J56" s="512">
        <f>'3товар'!J15+'3товар'!J16</f>
        <v>935</v>
      </c>
      <c r="K56" s="512">
        <f>'3товар'!K15+'3товар'!K16</f>
        <v>884</v>
      </c>
      <c r="L56" s="512">
        <f>'3товар'!L15+'3товар'!L16</f>
        <v>884</v>
      </c>
      <c r="M56" s="512">
        <f>'3товар'!M15+'3товар'!M16</f>
        <v>884</v>
      </c>
      <c r="N56" s="512">
        <f>'3товар'!N15+'3товар'!N16</f>
        <v>884</v>
      </c>
      <c r="O56" s="512">
        <f>'3товар'!O15+'3товар'!O16</f>
        <v>884</v>
      </c>
      <c r="P56" s="512">
        <f>'3товар'!P15+'3товар'!P16</f>
        <v>884</v>
      </c>
      <c r="Q56" s="512">
        <f>'3товар'!Q15+'3товар'!Q16</f>
        <v>884</v>
      </c>
      <c r="R56" s="512">
        <f>'3товар'!R15+'3товар'!R16</f>
        <v>884</v>
      </c>
      <c r="S56" s="512">
        <f>'3товар'!S15+'3товар'!S16</f>
        <v>884</v>
      </c>
      <c r="T56" s="512">
        <f>'3товар'!T15+'3товар'!T16</f>
        <v>884</v>
      </c>
      <c r="U56" s="512">
        <f>'3товар'!U15+'3товар'!U16</f>
        <v>884</v>
      </c>
      <c r="V56" s="512">
        <f>'3товар'!V15+'3товар'!V16</f>
        <v>884</v>
      </c>
      <c r="W56" s="495">
        <f t="shared" si="30"/>
        <v>19023</v>
      </c>
      <c r="X56" s="496">
        <f>NPV($X$1,Сводный!B56:V56)</f>
        <v>15454.182970675554</v>
      </c>
      <c r="Y56" s="513"/>
    </row>
    <row r="57" spans="1:25" s="188" customFormat="1" x14ac:dyDescent="0.25">
      <c r="A57" s="511" t="s">
        <v>480</v>
      </c>
      <c r="B57" s="512">
        <f t="shared" ref="B57:V57" si="33">B55-B56</f>
        <v>1870</v>
      </c>
      <c r="C57" s="512">
        <f t="shared" si="33"/>
        <v>1870</v>
      </c>
      <c r="D57" s="512">
        <f t="shared" si="33"/>
        <v>1870</v>
      </c>
      <c r="E57" s="512">
        <f t="shared" si="33"/>
        <v>1870</v>
      </c>
      <c r="F57" s="512">
        <f t="shared" si="33"/>
        <v>1870</v>
      </c>
      <c r="G57" s="512">
        <f t="shared" si="33"/>
        <v>1870</v>
      </c>
      <c r="H57" s="512">
        <f t="shared" si="33"/>
        <v>1870</v>
      </c>
      <c r="I57" s="512">
        <f t="shared" si="33"/>
        <v>1870</v>
      </c>
      <c r="J57" s="512">
        <f t="shared" si="33"/>
        <v>1870</v>
      </c>
      <c r="K57" s="512">
        <f t="shared" si="33"/>
        <v>1921</v>
      </c>
      <c r="L57" s="512">
        <f t="shared" si="33"/>
        <v>1921</v>
      </c>
      <c r="M57" s="512">
        <f t="shared" si="33"/>
        <v>1921</v>
      </c>
      <c r="N57" s="512">
        <f t="shared" si="33"/>
        <v>1921</v>
      </c>
      <c r="O57" s="512">
        <f t="shared" si="33"/>
        <v>1921</v>
      </c>
      <c r="P57" s="512">
        <f t="shared" si="33"/>
        <v>1921</v>
      </c>
      <c r="Q57" s="512">
        <f t="shared" si="33"/>
        <v>1921</v>
      </c>
      <c r="R57" s="512">
        <f t="shared" si="33"/>
        <v>1921</v>
      </c>
      <c r="S57" s="512">
        <f t="shared" si="33"/>
        <v>1921</v>
      </c>
      <c r="T57" s="512">
        <f t="shared" si="33"/>
        <v>1921</v>
      </c>
      <c r="U57" s="512">
        <f t="shared" si="33"/>
        <v>1921</v>
      </c>
      <c r="V57" s="512">
        <f t="shared" si="33"/>
        <v>1921</v>
      </c>
      <c r="W57" s="495">
        <f t="shared" si="30"/>
        <v>39882</v>
      </c>
      <c r="X57" s="496">
        <f>NPV($X$1,Сводный!B57:V57)</f>
        <v>32262.258726966513</v>
      </c>
      <c r="Y57" s="513">
        <f>X56/X57</f>
        <v>0.47901738999316018</v>
      </c>
    </row>
    <row r="58" spans="1:25" s="188" customFormat="1" x14ac:dyDescent="0.25">
      <c r="A58" s="514" t="s">
        <v>481</v>
      </c>
      <c r="B58" s="515">
        <f>B11/1000-B57</f>
        <v>0</v>
      </c>
      <c r="C58" s="515">
        <f t="shared" ref="C58:V58" si="34">C11/1000-C57</f>
        <v>0</v>
      </c>
      <c r="D58" s="515">
        <f t="shared" si="34"/>
        <v>0</v>
      </c>
      <c r="E58" s="515">
        <f t="shared" si="34"/>
        <v>0</v>
      </c>
      <c r="F58" s="515">
        <f t="shared" si="34"/>
        <v>0</v>
      </c>
      <c r="G58" s="515">
        <f t="shared" si="34"/>
        <v>0</v>
      </c>
      <c r="H58" s="515">
        <f t="shared" si="34"/>
        <v>0</v>
      </c>
      <c r="I58" s="515">
        <f t="shared" si="34"/>
        <v>0</v>
      </c>
      <c r="J58" s="515">
        <f t="shared" si="34"/>
        <v>0</v>
      </c>
      <c r="K58" s="515">
        <f t="shared" si="34"/>
        <v>0</v>
      </c>
      <c r="L58" s="515">
        <f t="shared" si="34"/>
        <v>0</v>
      </c>
      <c r="M58" s="515">
        <f t="shared" si="34"/>
        <v>0</v>
      </c>
      <c r="N58" s="515">
        <f t="shared" si="34"/>
        <v>0</v>
      </c>
      <c r="O58" s="515">
        <f t="shared" si="34"/>
        <v>0</v>
      </c>
      <c r="P58" s="515">
        <f t="shared" si="34"/>
        <v>0</v>
      </c>
      <c r="Q58" s="515">
        <f t="shared" si="34"/>
        <v>0</v>
      </c>
      <c r="R58" s="515">
        <f t="shared" si="34"/>
        <v>0</v>
      </c>
      <c r="S58" s="515">
        <f t="shared" si="34"/>
        <v>0</v>
      </c>
      <c r="T58" s="515">
        <f t="shared" si="34"/>
        <v>0</v>
      </c>
      <c r="U58" s="515">
        <f t="shared" si="34"/>
        <v>0</v>
      </c>
      <c r="V58" s="515">
        <f t="shared" si="34"/>
        <v>0</v>
      </c>
      <c r="W58" s="502">
        <f t="shared" si="30"/>
        <v>0</v>
      </c>
      <c r="X58" s="503">
        <f>NPV($X$1,Сводный!B58:V58)</f>
        <v>0</v>
      </c>
      <c r="Y58" s="517"/>
    </row>
    <row r="59" spans="1:25" s="188" customFormat="1" x14ac:dyDescent="0.25">
      <c r="A59" s="511" t="s">
        <v>490</v>
      </c>
      <c r="B59" s="518">
        <f t="shared" ref="B59:N59" si="35">B55-B51</f>
        <v>0</v>
      </c>
      <c r="C59" s="518">
        <f t="shared" si="35"/>
        <v>0</v>
      </c>
      <c r="D59" s="518">
        <f t="shared" si="35"/>
        <v>0</v>
      </c>
      <c r="E59" s="518">
        <f t="shared" si="35"/>
        <v>0</v>
      </c>
      <c r="F59" s="518">
        <f t="shared" si="35"/>
        <v>0</v>
      </c>
      <c r="G59" s="518">
        <f t="shared" si="35"/>
        <v>0</v>
      </c>
      <c r="H59" s="518">
        <f t="shared" si="35"/>
        <v>0</v>
      </c>
      <c r="I59" s="518">
        <f t="shared" si="35"/>
        <v>0</v>
      </c>
      <c r="J59" s="518">
        <f t="shared" si="35"/>
        <v>0</v>
      </c>
      <c r="K59" s="518">
        <f t="shared" si="35"/>
        <v>0</v>
      </c>
      <c r="L59" s="518">
        <f t="shared" si="35"/>
        <v>0</v>
      </c>
      <c r="M59" s="518">
        <f t="shared" si="35"/>
        <v>0</v>
      </c>
      <c r="N59" s="518">
        <f t="shared" si="35"/>
        <v>0</v>
      </c>
      <c r="O59" s="518">
        <f>O55-O51</f>
        <v>0</v>
      </c>
      <c r="P59" s="518">
        <f t="shared" ref="P59:V59" si="36">P55-P51</f>
        <v>0</v>
      </c>
      <c r="Q59" s="518">
        <f t="shared" si="36"/>
        <v>0</v>
      </c>
      <c r="R59" s="518">
        <f t="shared" si="36"/>
        <v>0</v>
      </c>
      <c r="S59" s="518">
        <f t="shared" si="36"/>
        <v>0</v>
      </c>
      <c r="T59" s="518">
        <f t="shared" si="36"/>
        <v>0</v>
      </c>
      <c r="U59" s="518">
        <f t="shared" si="36"/>
        <v>0</v>
      </c>
      <c r="V59" s="518">
        <f t="shared" si="36"/>
        <v>0</v>
      </c>
      <c r="W59" s="495">
        <f t="shared" si="30"/>
        <v>0</v>
      </c>
      <c r="X59" s="496">
        <f>NPV($X$1,Сводный!B59:V59)</f>
        <v>0</v>
      </c>
      <c r="Y59" s="513"/>
    </row>
    <row r="60" spans="1:25" s="188" customFormat="1" ht="15.75" thickBot="1" x14ac:dyDescent="0.3">
      <c r="A60" s="519" t="s">
        <v>493</v>
      </c>
      <c r="B60" s="520">
        <f t="shared" ref="B60:N60" si="37">B56-B52</f>
        <v>0</v>
      </c>
      <c r="C60" s="520">
        <f t="shared" si="37"/>
        <v>0</v>
      </c>
      <c r="D60" s="520">
        <f t="shared" si="37"/>
        <v>0</v>
      </c>
      <c r="E60" s="520">
        <f t="shared" si="37"/>
        <v>0</v>
      </c>
      <c r="F60" s="520">
        <f t="shared" si="37"/>
        <v>0</v>
      </c>
      <c r="G60" s="520">
        <f t="shared" si="37"/>
        <v>0</v>
      </c>
      <c r="H60" s="520">
        <f t="shared" si="37"/>
        <v>0</v>
      </c>
      <c r="I60" s="520">
        <f t="shared" si="37"/>
        <v>0</v>
      </c>
      <c r="J60" s="520">
        <f t="shared" si="37"/>
        <v>0</v>
      </c>
      <c r="K60" s="520">
        <f t="shared" si="37"/>
        <v>-51</v>
      </c>
      <c r="L60" s="520">
        <f t="shared" si="37"/>
        <v>-51</v>
      </c>
      <c r="M60" s="520">
        <f t="shared" si="37"/>
        <v>-51</v>
      </c>
      <c r="N60" s="520">
        <f t="shared" si="37"/>
        <v>-51</v>
      </c>
      <c r="O60" s="520">
        <f>O56-O52</f>
        <v>-51</v>
      </c>
      <c r="P60" s="520">
        <f t="shared" ref="P60:V60" si="38">P56-P52</f>
        <v>-51</v>
      </c>
      <c r="Q60" s="520">
        <f t="shared" si="38"/>
        <v>-51</v>
      </c>
      <c r="R60" s="520">
        <f t="shared" si="38"/>
        <v>-51</v>
      </c>
      <c r="S60" s="520">
        <f t="shared" si="38"/>
        <v>-51</v>
      </c>
      <c r="T60" s="520">
        <f t="shared" si="38"/>
        <v>0</v>
      </c>
      <c r="U60" s="520">
        <f t="shared" si="38"/>
        <v>0</v>
      </c>
      <c r="V60" s="520">
        <f t="shared" si="38"/>
        <v>0</v>
      </c>
      <c r="W60" s="506">
        <f t="shared" si="30"/>
        <v>-459</v>
      </c>
      <c r="X60" s="507">
        <f>NPV($X$1,Сводный!B60:V60)</f>
        <v>-348.31952181293963</v>
      </c>
      <c r="Y60" s="526">
        <f>X59/X60</f>
        <v>0</v>
      </c>
    </row>
    <row r="61" spans="1:25" s="188" customFormat="1" ht="15.75" thickBot="1" x14ac:dyDescent="0.3">
      <c r="F61" s="194"/>
      <c r="G61" s="194"/>
      <c r="H61" s="194"/>
      <c r="I61" s="194"/>
      <c r="L61" s="194"/>
      <c r="M61" s="194"/>
      <c r="N61" s="194"/>
      <c r="O61" s="194"/>
    </row>
    <row r="62" spans="1:25" x14ac:dyDescent="0.25">
      <c r="A62" s="3">
        <v>0</v>
      </c>
      <c r="B62" s="491">
        <f>'1сел'!B11+'2сем'!B11+'3товар'!B6</f>
        <v>2805</v>
      </c>
      <c r="C62" s="491">
        <f>'1сел'!C11+'2сем'!C11+'3товар'!C6</f>
        <v>2805</v>
      </c>
      <c r="D62" s="491">
        <f>'1сел'!D11+'2сем'!D11+'3товар'!D6</f>
        <v>2805</v>
      </c>
      <c r="E62" s="491">
        <f>'1сел'!E11+'2сем'!E11+'3товар'!E6</f>
        <v>2805</v>
      </c>
      <c r="F62" s="491">
        <f>'1сел'!F11+'2сем'!F11+'3товар'!F6</f>
        <v>2805</v>
      </c>
      <c r="G62" s="491">
        <f>'1сел'!G11+'2сем'!G11+'3товар'!G6</f>
        <v>2805</v>
      </c>
      <c r="H62" s="491">
        <f>'1сел'!H11+'2сем'!H11+'3товар'!H6</f>
        <v>2805</v>
      </c>
      <c r="I62" s="491">
        <f>'1сел'!I11+'2сем'!I11+'3товар'!I6</f>
        <v>2805</v>
      </c>
      <c r="J62" s="491">
        <f>'1сел'!J11+'2сем'!J11+'3товар'!J6</f>
        <v>2805</v>
      </c>
      <c r="K62" s="491">
        <f>'1сел'!K11+'2сем'!K11+'3товар'!K6</f>
        <v>2805</v>
      </c>
      <c r="L62" s="491">
        <f>'1сел'!L11+'2сем'!L11+'3товар'!L6</f>
        <v>2805</v>
      </c>
      <c r="M62" s="491">
        <f>'1сел'!M11+'2сем'!M11+'3товар'!M6</f>
        <v>2805</v>
      </c>
      <c r="N62" s="491">
        <f>'1сел'!N11+'2сем'!N11+'3товар'!N6</f>
        <v>2805</v>
      </c>
      <c r="O62" s="491">
        <f>'1сел'!O11+'2сем'!O11+'3товар'!O6</f>
        <v>2805</v>
      </c>
      <c r="P62" s="491">
        <f>'1сел'!P11+'2сем'!P11+'3товар'!P6</f>
        <v>2805</v>
      </c>
      <c r="Q62" s="491">
        <f>'1сел'!Q11+'2сем'!Q11+'3товар'!Q6</f>
        <v>2805</v>
      </c>
      <c r="R62" s="491">
        <f>'1сел'!R11+'2сем'!R11+'3товар'!R6</f>
        <v>2805</v>
      </c>
      <c r="S62" s="491">
        <f>'1сел'!S11+'2сем'!S11+'3товар'!S6</f>
        <v>4845</v>
      </c>
      <c r="T62" s="491">
        <f>'1сел'!T11+'2сем'!T11+'3товар'!T6</f>
        <v>11305</v>
      </c>
      <c r="U62" s="491">
        <f>'1сел'!U11+'2сем'!U11+'3товар'!U6</f>
        <v>11305</v>
      </c>
      <c r="V62" s="491">
        <f>'1сел'!V11+'2сем'!V11+'3товар'!V6</f>
        <v>11305</v>
      </c>
      <c r="W62" s="492">
        <f>SUM(B62:V62)</f>
        <v>86445</v>
      </c>
      <c r="X62" s="493">
        <f>NPV($X$1,Сводный!B62:V62)</f>
        <v>66307.779054604413</v>
      </c>
      <c r="Y62" s="360"/>
    </row>
    <row r="63" spans="1:25" x14ac:dyDescent="0.25">
      <c r="A63" s="7" t="s">
        <v>479</v>
      </c>
      <c r="B63" s="494">
        <f>'1сел'!B5+'1сел'!B6+'1сел'!B7+'1сел'!B10+'2сем'!B4+'2сем'!B10+'3товар'!B4+'3товар'!B5</f>
        <v>5332</v>
      </c>
      <c r="C63" s="494">
        <f>'1сел'!C5+'1сел'!C6+'1сел'!C7+'1сел'!C10+'2сем'!C4+'2сем'!C10+'3товар'!C4+'3товар'!C5</f>
        <v>5332</v>
      </c>
      <c r="D63" s="494">
        <f>'1сел'!D38+'1сел'!D39+'1сел'!D40+'1сел'!D43</f>
        <v>-6180.3729334871205</v>
      </c>
      <c r="E63" s="494">
        <f>'1сел'!E38+'1сел'!E39+'1сел'!E40+'1сел'!E43</f>
        <v>-6180.3729334871205</v>
      </c>
      <c r="F63" s="494">
        <f>'1сел'!F38+'1сел'!F39+'1сел'!F40+'1сел'!F43</f>
        <v>6024.1819574562105</v>
      </c>
      <c r="G63" s="494">
        <f>'1сел'!G38+'1сел'!G39+'1сел'!G40+'1сел'!G43</f>
        <v>9939.7364075143705</v>
      </c>
      <c r="H63" s="494">
        <f>'1сел'!H38+'1сел'!H39+'1сел'!H40+'1сел'!H43</f>
        <v>13702.926670480216</v>
      </c>
      <c r="I63" s="494">
        <f>'1сел'!I38+'1сел'!I39+'1сел'!I40+'1сел'!I43</f>
        <v>17380.66788936068</v>
      </c>
      <c r="J63" s="494">
        <f>'1сел'!J38+'1сел'!J39+'1сел'!J40+'1сел'!J43</f>
        <v>15532.335050561469</v>
      </c>
      <c r="K63" s="494">
        <f>'1сел'!K38+'1сел'!K39+'1сел'!K40+'1сел'!K43</f>
        <v>45260.166935879366</v>
      </c>
      <c r="L63" s="494">
        <f>'1сел'!L38+'1сел'!L39+'1сел'!L40+'1сел'!L43</f>
        <v>55425.295742761809</v>
      </c>
      <c r="M63" s="494"/>
      <c r="N63" s="494">
        <f>'1сел'!C5+'1сел'!C6+'1сел'!C7+'2сем'!C4+'2сем'!C10+'3товар'!C4+'3товар'!C5</f>
        <v>5332</v>
      </c>
      <c r="O63" s="494">
        <f>'1сел'!D5+'1сел'!D6+'1сел'!D7+'2сем'!D4+'2сем'!D10+'3товар'!D4+'3товар'!D5</f>
        <v>5332</v>
      </c>
      <c r="P63" s="494">
        <f>'1сел'!E5+'1сел'!E6+'1сел'!E7+'2сем'!E4+'2сем'!E10+'3товар'!E4+'3товар'!E5</f>
        <v>5332</v>
      </c>
      <c r="Q63" s="494">
        <f>'1сел'!F5+'1сел'!F6+'1сел'!F7+'2сем'!F4+'2сем'!F10+'3товар'!F4+'3товар'!F5</f>
        <v>5332</v>
      </c>
      <c r="R63" s="494">
        <f>'1сел'!G5+'1сел'!G6+'1сел'!G7+'2сем'!G4+'2сем'!G10+'3товар'!G4+'3товар'!G5</f>
        <v>5332</v>
      </c>
      <c r="S63" s="494">
        <f>'1сел'!H5+'1сел'!H6+'1сел'!H7+'2сем'!H4+'2сем'!H10+'3товар'!H4+'3товар'!H5</f>
        <v>5332</v>
      </c>
      <c r="T63" s="494">
        <f>'1сел'!I5+'1сел'!I6+'1сел'!I7+'2сем'!I4+'2сем'!I10+'3товар'!I4+'3товар'!I5</f>
        <v>5332</v>
      </c>
      <c r="U63" s="494">
        <f>'1сел'!J5+'1сел'!J6+'1сел'!J7+'2сем'!J4+'2сем'!J10+'3товар'!J4+'3товар'!J5</f>
        <v>5332</v>
      </c>
      <c r="V63" s="494">
        <f>'1сел'!K5+'1сел'!K6+'1сел'!K7+'2сем'!K4+'2сем'!K10+'3товар'!K4+'3товар'!K5</f>
        <v>5332</v>
      </c>
      <c r="W63" s="495">
        <f t="shared" ref="W63:W71" si="39">SUM(B63:V63)</f>
        <v>209556.56478703988</v>
      </c>
      <c r="X63" s="496">
        <f>NPV($X$1,Сводный!B63:V63)</f>
        <v>169569.48361775454</v>
      </c>
      <c r="Y63" s="361"/>
    </row>
    <row r="64" spans="1:25" x14ac:dyDescent="0.25">
      <c r="A64" s="7" t="s">
        <v>480</v>
      </c>
      <c r="B64" s="494">
        <f>B62-B63</f>
        <v>-2527</v>
      </c>
      <c r="C64" s="494">
        <f t="shared" ref="C64:V64" si="40">C62-C63</f>
        <v>-2527</v>
      </c>
      <c r="D64" s="494">
        <f t="shared" si="40"/>
        <v>8985.3729334871205</v>
      </c>
      <c r="E64" s="494">
        <f t="shared" si="40"/>
        <v>8985.3729334871205</v>
      </c>
      <c r="F64" s="494">
        <f t="shared" si="40"/>
        <v>-3219.1819574562105</v>
      </c>
      <c r="G64" s="494">
        <f t="shared" si="40"/>
        <v>-7134.7364075143705</v>
      </c>
      <c r="H64" s="494">
        <f t="shared" si="40"/>
        <v>-10897.926670480216</v>
      </c>
      <c r="I64" s="494">
        <f t="shared" si="40"/>
        <v>-14575.66788936068</v>
      </c>
      <c r="J64" s="494">
        <f t="shared" si="40"/>
        <v>-12727.335050561469</v>
      </c>
      <c r="K64" s="494">
        <f t="shared" si="40"/>
        <v>-42455.166935879366</v>
      </c>
      <c r="L64" s="494">
        <f t="shared" si="40"/>
        <v>-52620.295742761809</v>
      </c>
      <c r="M64" s="494">
        <f t="shared" si="40"/>
        <v>2805</v>
      </c>
      <c r="N64" s="494">
        <f t="shared" si="40"/>
        <v>-2527</v>
      </c>
      <c r="O64" s="494">
        <f t="shared" si="40"/>
        <v>-2527</v>
      </c>
      <c r="P64" s="494">
        <f t="shared" si="40"/>
        <v>-2527</v>
      </c>
      <c r="Q64" s="494">
        <f t="shared" si="40"/>
        <v>-2527</v>
      </c>
      <c r="R64" s="494">
        <f t="shared" si="40"/>
        <v>-2527</v>
      </c>
      <c r="S64" s="494">
        <f t="shared" si="40"/>
        <v>-487</v>
      </c>
      <c r="T64" s="494">
        <f t="shared" si="40"/>
        <v>5973</v>
      </c>
      <c r="U64" s="494">
        <f t="shared" si="40"/>
        <v>5973</v>
      </c>
      <c r="V64" s="494">
        <f t="shared" si="40"/>
        <v>5973</v>
      </c>
      <c r="W64" s="495">
        <f t="shared" si="39"/>
        <v>-123111.56478703988</v>
      </c>
      <c r="X64" s="496">
        <f>NPV($X$1,Сводный!B64:V64)</f>
        <v>-102575.38360598024</v>
      </c>
      <c r="Y64" s="361">
        <f>X63/X64</f>
        <v>-1.653120638272402</v>
      </c>
    </row>
    <row r="65" spans="1:25" x14ac:dyDescent="0.25">
      <c r="A65" s="497" t="s">
        <v>498</v>
      </c>
      <c r="B65" s="498">
        <f>B4/1000-B64</f>
        <v>4392.6030000000001</v>
      </c>
      <c r="C65" s="498">
        <f t="shared" ref="C65:V65" si="41">C4/1000-C64</f>
        <v>4392.6030000000001</v>
      </c>
      <c r="D65" s="498">
        <f t="shared" si="41"/>
        <v>-7119.7699334871204</v>
      </c>
      <c r="E65" s="498">
        <f t="shared" si="41"/>
        <v>-7119.7699334871204</v>
      </c>
      <c r="F65" s="498">
        <f t="shared" si="41"/>
        <v>5084.7849574562106</v>
      </c>
      <c r="G65" s="498">
        <f t="shared" si="41"/>
        <v>9000.3394075143697</v>
      </c>
      <c r="H65" s="498">
        <f t="shared" si="41"/>
        <v>12763.529670480217</v>
      </c>
      <c r="I65" s="498">
        <f t="shared" si="41"/>
        <v>16441.27088936068</v>
      </c>
      <c r="J65" s="498">
        <f t="shared" si="41"/>
        <v>14592.938050561468</v>
      </c>
      <c r="K65" s="498">
        <f t="shared" si="41"/>
        <v>44320.769935879369</v>
      </c>
      <c r="L65" s="498">
        <f t="shared" si="41"/>
        <v>54485.898742761812</v>
      </c>
      <c r="M65" s="498">
        <f t="shared" si="41"/>
        <v>-939.39699999999993</v>
      </c>
      <c r="N65" s="498">
        <f t="shared" si="41"/>
        <v>4393.5119999999997</v>
      </c>
      <c r="O65" s="498">
        <f t="shared" si="41"/>
        <v>4393.5119999999997</v>
      </c>
      <c r="P65" s="498">
        <f t="shared" si="41"/>
        <v>4396.9937</v>
      </c>
      <c r="Q65" s="498">
        <f t="shared" si="41"/>
        <v>4397</v>
      </c>
      <c r="R65" s="498">
        <f t="shared" si="41"/>
        <v>4396.2</v>
      </c>
      <c r="S65" s="498">
        <f t="shared" si="41"/>
        <v>2356.1999999999998</v>
      </c>
      <c r="T65" s="498">
        <f t="shared" si="41"/>
        <v>-4043.5</v>
      </c>
      <c r="U65" s="498">
        <f t="shared" si="41"/>
        <v>-4043.5</v>
      </c>
      <c r="V65" s="498">
        <f t="shared" si="41"/>
        <v>-4043.5</v>
      </c>
      <c r="W65" s="499">
        <f t="shared" si="39"/>
        <v>162498.71848703988</v>
      </c>
      <c r="X65" s="500">
        <f>NPV($X$1,Сводный!B65:V65)</f>
        <v>134453.51010394149</v>
      </c>
      <c r="Y65" s="501"/>
    </row>
    <row r="66" spans="1:25" x14ac:dyDescent="0.25">
      <c r="A66" s="7" t="s">
        <v>494</v>
      </c>
      <c r="B66" s="494">
        <f>'1сел'!B30+'2сем'!B30+'3товар'!B17</f>
        <v>2805</v>
      </c>
      <c r="C66" s="494">
        <f>'1сел'!C30+'2сем'!C30+'3товар'!C17</f>
        <v>2805</v>
      </c>
      <c r="D66" s="494">
        <f>'1сел'!D30+'2сем'!D30+'3товар'!D17</f>
        <v>2805</v>
      </c>
      <c r="E66" s="494">
        <f>'1сел'!E30+'2сем'!E30+'3товар'!E17</f>
        <v>2805</v>
      </c>
      <c r="F66" s="494">
        <f>'1сел'!F30+'2сем'!F30+'3товар'!F17</f>
        <v>2805</v>
      </c>
      <c r="G66" s="494">
        <f>'1сел'!G30+'2сем'!G30+'3товар'!G17</f>
        <v>2805</v>
      </c>
      <c r="H66" s="494">
        <f>'1сел'!H30+'2сем'!H30+'3товар'!H17</f>
        <v>2805</v>
      </c>
      <c r="I66" s="494">
        <f>'1сел'!I30+'2сем'!I30+'3товар'!I17</f>
        <v>2805</v>
      </c>
      <c r="J66" s="494">
        <f>'1сел'!J30+'2сем'!J30+'3товар'!J17</f>
        <v>4845</v>
      </c>
      <c r="K66" s="494">
        <f>'1сел'!K30+'2сем'!K30+'3товар'!K17</f>
        <v>11305</v>
      </c>
      <c r="L66" s="494">
        <f>'1сел'!L30+'2сем'!L30+'3товар'!L17</f>
        <v>11305</v>
      </c>
      <c r="M66" s="494">
        <f>'1сел'!M30+'2сем'!M30+'3товар'!M17</f>
        <v>13345</v>
      </c>
      <c r="N66" s="494">
        <f>'1сел'!N30+'2сем'!N30+'3товар'!N17</f>
        <v>11305</v>
      </c>
      <c r="O66" s="494">
        <f>'1сел'!O30+'2сем'!O30+'3товар'!O17</f>
        <v>11305</v>
      </c>
      <c r="P66" s="494">
        <f>'1сел'!P30+'2сем'!P30+'3товар'!P17</f>
        <v>13345</v>
      </c>
      <c r="Q66" s="494">
        <f>'1сел'!Q30+'2сем'!Q30+'3товар'!Q17</f>
        <v>11305</v>
      </c>
      <c r="R66" s="494">
        <f>'1сел'!R30+'2сем'!R30+'3товар'!R17</f>
        <v>11305</v>
      </c>
      <c r="S66" s="494">
        <f>'1сел'!S30+'2сем'!S30+'3товар'!S17</f>
        <v>13345</v>
      </c>
      <c r="T66" s="494">
        <f>'1сел'!T30+'2сем'!T30+'3товар'!T17</f>
        <v>11305</v>
      </c>
      <c r="U66" s="494">
        <f>'1сел'!U30+'2сем'!U30+'3товар'!U17</f>
        <v>11305</v>
      </c>
      <c r="V66" s="494">
        <f>'1сел'!V30+'2сем'!V30+'3товар'!V17</f>
        <v>11305</v>
      </c>
      <c r="W66" s="495">
        <f t="shared" si="39"/>
        <v>169065</v>
      </c>
      <c r="X66" s="496">
        <f>NPV($X$1,Сводный!B66:V66)</f>
        <v>129192.28955983774</v>
      </c>
      <c r="Y66" s="361"/>
    </row>
    <row r="67" spans="1:25" x14ac:dyDescent="0.25">
      <c r="A67" s="7" t="s">
        <v>479</v>
      </c>
      <c r="B67" s="494">
        <f>'1сел'!B22+'1сел'!B23+'1сел'!B25+'1сел'!B26+'1сел'!B29+'2сем'!B21+'2сем'!B29+'3товар'!B15+'3товар'!B16</f>
        <v>12935</v>
      </c>
      <c r="C67" s="494">
        <f>'1сел'!C22+'1сел'!C23+'1сел'!C25+'1сел'!C26+'1сел'!C29+'2сем'!C21+'2сем'!C29+'3товар'!C15+'3товар'!C16</f>
        <v>4007</v>
      </c>
      <c r="D67" s="494">
        <f>'1сел'!D22+'1сел'!D23+'1сел'!D25+'1сел'!D26+'1сел'!D29+'2сем'!D21+'2сем'!D29+'3товар'!D15+'3товар'!D16</f>
        <v>935</v>
      </c>
      <c r="E67" s="494">
        <f>'1сел'!E22+'1сел'!E23+'1сел'!E25+'1сел'!E26+'1сел'!E29+'2сем'!E21+'2сем'!E29+'3товар'!E15+'3товар'!E16</f>
        <v>935</v>
      </c>
      <c r="F67" s="494">
        <f>'1сел'!F22+'1сел'!F23+'1сел'!F25+'1сел'!F26+'1сел'!F29+'2сем'!F21+'2сем'!F29+'3товар'!F15+'3товар'!F16</f>
        <v>991</v>
      </c>
      <c r="G67" s="494">
        <f>'1сел'!G22+'1сел'!G23+'1сел'!G25+'1сел'!G26+'1сел'!G29+'2сем'!G21+'2сем'!G29+'3товар'!G15+'3товар'!G16</f>
        <v>941.3</v>
      </c>
      <c r="H67" s="494">
        <f>'1сел'!H22+'1сел'!H23+'1сел'!H25+'1сел'!H26+'1сел'!H29+'2сем'!H21+'2сем'!H29+'3товар'!H15+'3товар'!H16</f>
        <v>935</v>
      </c>
      <c r="I67" s="494">
        <f>'1сел'!I22+'1сел'!I23+'1сел'!I25+'1сел'!I26+'1сел'!I29+'2сем'!I21+'2сем'!I29+'3товар'!I15+'3товар'!I16</f>
        <v>1735</v>
      </c>
      <c r="J67" s="494">
        <f>'1сел'!J22+'1сел'!J23+'1сел'!J25+'1сел'!J26+'1сел'!J29+'2сем'!J21+'2сем'!J29+'3товар'!J15+'3товар'!J16</f>
        <v>3775</v>
      </c>
      <c r="K67" s="494">
        <f>'1сел'!K22+'1сел'!K23+'1сел'!K25+'1сел'!K26+'1сел'!K29+'2сем'!K21+'2сем'!K29+'3товар'!K15+'3товар'!K16</f>
        <v>884</v>
      </c>
      <c r="L67" s="494">
        <f>'1сел'!L22+'1сел'!L23+'1сел'!L25+'1сел'!L26+'1сел'!L29+'2сем'!L21+'2сем'!L29+'3товар'!L15+'3товар'!L16</f>
        <v>1684</v>
      </c>
      <c r="M67" s="494">
        <f>'1сел'!M22+'1сел'!M23+'1сел'!M25+'1сел'!M26+'1сел'!M29+'2сем'!M21+'2сем'!M29+'3товар'!M15+'3товар'!M16</f>
        <v>3724</v>
      </c>
      <c r="N67" s="494">
        <f>'1сел'!N22+'1сел'!N23+'1сел'!N25+'1сел'!N26+'1сел'!N29+'2сем'!N21+'2сем'!N29+'3товар'!N15+'3товар'!N16</f>
        <v>884</v>
      </c>
      <c r="O67" s="494">
        <f>'1сел'!O22+'1сел'!O23+'1сел'!O25+'1сел'!O26+'1сел'!O29+'2сем'!O21+'2сем'!O29+'3товар'!O15+'3товар'!O16</f>
        <v>1684</v>
      </c>
      <c r="P67" s="494">
        <f>'1сел'!P22+'1сел'!P23+'1сел'!P25+'1сел'!P26+'1сел'!P29+'2сем'!P21+'2сем'!P29+'3товар'!P15+'3товар'!P16</f>
        <v>3724</v>
      </c>
      <c r="Q67" s="494">
        <f>'1сел'!Q22+'1сел'!Q23+'1сел'!Q25+'1сел'!Q26+'1сел'!Q29+'2сем'!Q21+'2сем'!Q29+'3товар'!Q15+'3товар'!Q16</f>
        <v>884</v>
      </c>
      <c r="R67" s="494">
        <f>'1сел'!R22+'1сел'!R23+'1сел'!R25+'1сел'!R26+'1сел'!R29+'2сем'!R21+'2сем'!R29+'3товар'!R15+'3товар'!R16</f>
        <v>1684</v>
      </c>
      <c r="S67" s="494">
        <f>'1сел'!S22+'1сел'!S23+'1сел'!S25+'1сел'!S26+'1сел'!S29+'2сем'!S21+'2сем'!S29+'3товар'!S15+'3товар'!S16</f>
        <v>3724</v>
      </c>
      <c r="T67" s="494">
        <f>'1сел'!T22+'1сел'!T23+'1сел'!T25+'1сел'!T26+'1сел'!T29+'2сем'!T21+'2сем'!T29+'3товар'!T15+'3товар'!T16</f>
        <v>884</v>
      </c>
      <c r="U67" s="494">
        <f>'1сел'!U22+'1сел'!U23+'1сел'!U25+'1сел'!U26+'1сел'!U29+'2сем'!U21+'2сем'!U29+'3товар'!U15+'3товар'!U16</f>
        <v>884</v>
      </c>
      <c r="V67" s="494">
        <f>'1сел'!V22+'1сел'!V23+'1сел'!V25+'1сел'!V26+'1сел'!V29+'2сем'!V21+'2сем'!V29+'3товар'!V15+'3товар'!V16</f>
        <v>884</v>
      </c>
      <c r="W67" s="495">
        <f t="shared" si="39"/>
        <v>48717.3</v>
      </c>
      <c r="X67" s="496">
        <f>NPV($X$1,Сводный!B67:V67)</f>
        <v>41446.067323719151</v>
      </c>
      <c r="Y67" s="361"/>
    </row>
    <row r="68" spans="1:25" x14ac:dyDescent="0.25">
      <c r="A68" s="7" t="s">
        <v>480</v>
      </c>
      <c r="B68" s="494">
        <f>B66-B67</f>
        <v>-10130</v>
      </c>
      <c r="C68" s="494">
        <f t="shared" ref="C68:V68" si="42">C66-C67</f>
        <v>-1202</v>
      </c>
      <c r="D68" s="494">
        <f t="shared" si="42"/>
        <v>1870</v>
      </c>
      <c r="E68" s="494">
        <f t="shared" si="42"/>
        <v>1870</v>
      </c>
      <c r="F68" s="494">
        <f t="shared" si="42"/>
        <v>1814</v>
      </c>
      <c r="G68" s="494">
        <f t="shared" si="42"/>
        <v>1863.7</v>
      </c>
      <c r="H68" s="494">
        <f t="shared" si="42"/>
        <v>1870</v>
      </c>
      <c r="I68" s="494">
        <f t="shared" si="42"/>
        <v>1070</v>
      </c>
      <c r="J68" s="494">
        <f t="shared" si="42"/>
        <v>1070</v>
      </c>
      <c r="K68" s="494">
        <f t="shared" si="42"/>
        <v>10421</v>
      </c>
      <c r="L68" s="494">
        <f t="shared" si="42"/>
        <v>9621</v>
      </c>
      <c r="M68" s="494">
        <f t="shared" si="42"/>
        <v>9621</v>
      </c>
      <c r="N68" s="494">
        <f t="shared" si="42"/>
        <v>10421</v>
      </c>
      <c r="O68" s="494">
        <f t="shared" si="42"/>
        <v>9621</v>
      </c>
      <c r="P68" s="494">
        <f t="shared" si="42"/>
        <v>9621</v>
      </c>
      <c r="Q68" s="494">
        <f t="shared" si="42"/>
        <v>10421</v>
      </c>
      <c r="R68" s="494">
        <f t="shared" si="42"/>
        <v>9621</v>
      </c>
      <c r="S68" s="494">
        <f t="shared" si="42"/>
        <v>9621</v>
      </c>
      <c r="T68" s="494">
        <f t="shared" si="42"/>
        <v>10421</v>
      </c>
      <c r="U68" s="494">
        <f t="shared" si="42"/>
        <v>10421</v>
      </c>
      <c r="V68" s="494">
        <f t="shared" si="42"/>
        <v>10421</v>
      </c>
      <c r="W68" s="495">
        <f t="shared" si="39"/>
        <v>120347.7</v>
      </c>
      <c r="X68" s="496">
        <f>NPV($X$1,Сводный!B68:V68)</f>
        <v>87746.2222361186</v>
      </c>
      <c r="Y68" s="361">
        <f>X67/X68</f>
        <v>0.47234019046644365</v>
      </c>
    </row>
    <row r="69" spans="1:25" x14ac:dyDescent="0.25">
      <c r="A69" s="497" t="s">
        <v>497</v>
      </c>
      <c r="B69" s="498">
        <f>B8/1000-B68</f>
        <v>11988</v>
      </c>
      <c r="C69" s="498">
        <f t="shared" ref="C69:V69" si="43">C8/1000-C68</f>
        <v>3068.9279999999999</v>
      </c>
      <c r="D69" s="498">
        <f t="shared" si="43"/>
        <v>-4.3969999999999345</v>
      </c>
      <c r="E69" s="498">
        <f t="shared" si="43"/>
        <v>-4.3969999999999345</v>
      </c>
      <c r="F69" s="498">
        <f t="shared" si="43"/>
        <v>55.94399999999996</v>
      </c>
      <c r="G69" s="498">
        <f t="shared" si="43"/>
        <v>6.2936999999999443</v>
      </c>
      <c r="H69" s="498">
        <f t="shared" si="43"/>
        <v>0</v>
      </c>
      <c r="I69" s="498">
        <f t="shared" si="43"/>
        <v>799.2</v>
      </c>
      <c r="J69" s="498">
        <f t="shared" si="43"/>
        <v>799.2</v>
      </c>
      <c r="K69" s="498">
        <f t="shared" si="43"/>
        <v>-8491.5</v>
      </c>
      <c r="L69" s="498">
        <f t="shared" si="43"/>
        <v>-7692.3</v>
      </c>
      <c r="M69" s="498">
        <f t="shared" si="43"/>
        <v>-7692.3</v>
      </c>
      <c r="N69" s="498">
        <f t="shared" si="43"/>
        <v>-8491.5</v>
      </c>
      <c r="O69" s="498">
        <f t="shared" si="43"/>
        <v>-7692.3</v>
      </c>
      <c r="P69" s="498">
        <f t="shared" si="43"/>
        <v>-7692.3</v>
      </c>
      <c r="Q69" s="498">
        <f t="shared" si="43"/>
        <v>-8491.5</v>
      </c>
      <c r="R69" s="498">
        <f t="shared" si="43"/>
        <v>-7692.3</v>
      </c>
      <c r="S69" s="498">
        <f t="shared" si="43"/>
        <v>-7692.3</v>
      </c>
      <c r="T69" s="498">
        <f t="shared" si="43"/>
        <v>-8491.5</v>
      </c>
      <c r="U69" s="498">
        <f t="shared" si="43"/>
        <v>-8491.5</v>
      </c>
      <c r="V69" s="498">
        <f t="shared" si="43"/>
        <v>-8491.5</v>
      </c>
      <c r="W69" s="502">
        <f t="shared" si="39"/>
        <v>-80394.028300000005</v>
      </c>
      <c r="X69" s="503">
        <f>NPV($X$1,Сводный!B69:V69)</f>
        <v>-55436.685085286168</v>
      </c>
      <c r="Y69" s="504"/>
    </row>
    <row r="70" spans="1:25" x14ac:dyDescent="0.25">
      <c r="A70" s="7" t="s">
        <v>495</v>
      </c>
      <c r="B70" s="480">
        <f t="shared" ref="B70:N70" si="44">B66-B62</f>
        <v>0</v>
      </c>
      <c r="C70" s="480">
        <f t="shared" si="44"/>
        <v>0</v>
      </c>
      <c r="D70" s="480">
        <f t="shared" si="44"/>
        <v>0</v>
      </c>
      <c r="E70" s="480">
        <f t="shared" si="44"/>
        <v>0</v>
      </c>
      <c r="F70" s="480">
        <f t="shared" si="44"/>
        <v>0</v>
      </c>
      <c r="G70" s="480">
        <f t="shared" si="44"/>
        <v>0</v>
      </c>
      <c r="H70" s="480">
        <f t="shared" si="44"/>
        <v>0</v>
      </c>
      <c r="I70" s="480">
        <f t="shared" si="44"/>
        <v>0</v>
      </c>
      <c r="J70" s="480">
        <f t="shared" si="44"/>
        <v>2040</v>
      </c>
      <c r="K70" s="480">
        <f t="shared" si="44"/>
        <v>8500</v>
      </c>
      <c r="L70" s="480">
        <f t="shared" si="44"/>
        <v>8500</v>
      </c>
      <c r="M70" s="480">
        <f t="shared" si="44"/>
        <v>10540</v>
      </c>
      <c r="N70" s="480">
        <f t="shared" si="44"/>
        <v>8500</v>
      </c>
      <c r="O70" s="480">
        <f>O66-O62</f>
        <v>8500</v>
      </c>
      <c r="P70" s="480">
        <f t="shared" ref="P70:V70" si="45">P66-P62</f>
        <v>10540</v>
      </c>
      <c r="Q70" s="480">
        <f t="shared" si="45"/>
        <v>8500</v>
      </c>
      <c r="R70" s="480">
        <f t="shared" si="45"/>
        <v>8500</v>
      </c>
      <c r="S70" s="480">
        <f t="shared" si="45"/>
        <v>8500</v>
      </c>
      <c r="T70" s="480">
        <f t="shared" si="45"/>
        <v>0</v>
      </c>
      <c r="U70" s="480">
        <f t="shared" si="45"/>
        <v>0</v>
      </c>
      <c r="V70" s="480">
        <f t="shared" si="45"/>
        <v>0</v>
      </c>
      <c r="W70" s="495">
        <f t="shared" si="39"/>
        <v>82620</v>
      </c>
      <c r="X70" s="496">
        <f>NPV($X$1,Сводный!B70:V70)</f>
        <v>62884.510505233317</v>
      </c>
      <c r="Y70" s="361"/>
    </row>
    <row r="71" spans="1:25" ht="15.75" thickBot="1" x14ac:dyDescent="0.3">
      <c r="A71" s="17" t="s">
        <v>496</v>
      </c>
      <c r="B71" s="505">
        <f t="shared" ref="B71:N71" si="46">B67-B63</f>
        <v>7603</v>
      </c>
      <c r="C71" s="505">
        <f t="shared" si="46"/>
        <v>-1325</v>
      </c>
      <c r="D71" s="505">
        <f t="shared" si="46"/>
        <v>7115.3729334871205</v>
      </c>
      <c r="E71" s="505">
        <f t="shared" si="46"/>
        <v>7115.3729334871205</v>
      </c>
      <c r="F71" s="505">
        <f t="shared" si="46"/>
        <v>-5033.1819574562105</v>
      </c>
      <c r="G71" s="505">
        <f t="shared" si="46"/>
        <v>-8998.4364075143712</v>
      </c>
      <c r="H71" s="505">
        <f t="shared" si="46"/>
        <v>-12767.926670480216</v>
      </c>
      <c r="I71" s="505">
        <f t="shared" si="46"/>
        <v>-15645.66788936068</v>
      </c>
      <c r="J71" s="505">
        <f t="shared" si="46"/>
        <v>-11757.335050561469</v>
      </c>
      <c r="K71" s="505">
        <f t="shared" si="46"/>
        <v>-44376.166935879366</v>
      </c>
      <c r="L71" s="505">
        <f t="shared" si="46"/>
        <v>-53741.295742761809</v>
      </c>
      <c r="M71" s="505">
        <f t="shared" si="46"/>
        <v>3724</v>
      </c>
      <c r="N71" s="505">
        <f t="shared" si="46"/>
        <v>-4448</v>
      </c>
      <c r="O71" s="505">
        <f>O67-O63</f>
        <v>-3648</v>
      </c>
      <c r="P71" s="505">
        <f t="shared" ref="P71:V71" si="47">P67-P63</f>
        <v>-1608</v>
      </c>
      <c r="Q71" s="505">
        <f t="shared" si="47"/>
        <v>-4448</v>
      </c>
      <c r="R71" s="505">
        <f t="shared" si="47"/>
        <v>-3648</v>
      </c>
      <c r="S71" s="505">
        <f t="shared" si="47"/>
        <v>-1608</v>
      </c>
      <c r="T71" s="505">
        <f t="shared" si="47"/>
        <v>-4448</v>
      </c>
      <c r="U71" s="505">
        <f t="shared" si="47"/>
        <v>-4448</v>
      </c>
      <c r="V71" s="505">
        <f t="shared" si="47"/>
        <v>-4448</v>
      </c>
      <c r="W71" s="506">
        <f t="shared" si="39"/>
        <v>-160839.26478703989</v>
      </c>
      <c r="X71" s="507">
        <f>NPV($X$1,Сводный!B71:V71)</f>
        <v>-127437.09533686555</v>
      </c>
      <c r="Y71" s="508">
        <f>X70/X71</f>
        <v>-0.49345530309683555</v>
      </c>
    </row>
    <row r="72" spans="1:25" ht="15.75" thickBot="1" x14ac:dyDescent="0.3">
      <c r="A72" s="521" t="s">
        <v>499</v>
      </c>
      <c r="B72" s="215">
        <f>B70-B71</f>
        <v>-7603</v>
      </c>
      <c r="C72" s="215">
        <f t="shared" ref="C72:V72" si="48">C70-C71</f>
        <v>1325</v>
      </c>
      <c r="D72" s="215">
        <f t="shared" si="48"/>
        <v>-7115.3729334871205</v>
      </c>
      <c r="E72" s="215">
        <f t="shared" si="48"/>
        <v>-7115.3729334871205</v>
      </c>
      <c r="F72" s="215">
        <f t="shared" si="48"/>
        <v>5033.1819574562105</v>
      </c>
      <c r="G72" s="215">
        <f t="shared" si="48"/>
        <v>8998.4364075143712</v>
      </c>
      <c r="H72" s="215">
        <f t="shared" si="48"/>
        <v>12767.926670480216</v>
      </c>
      <c r="I72" s="215">
        <f t="shared" si="48"/>
        <v>15645.66788936068</v>
      </c>
      <c r="J72" s="215">
        <f t="shared" si="48"/>
        <v>13797.335050561469</v>
      </c>
      <c r="K72" s="215">
        <f t="shared" si="48"/>
        <v>52876.166935879366</v>
      </c>
      <c r="L72" s="215">
        <f t="shared" si="48"/>
        <v>62241.295742761809</v>
      </c>
      <c r="M72" s="215">
        <f t="shared" si="48"/>
        <v>6816</v>
      </c>
      <c r="N72" s="215">
        <f t="shared" si="48"/>
        <v>12948</v>
      </c>
      <c r="O72" s="215">
        <f t="shared" si="48"/>
        <v>12148</v>
      </c>
      <c r="P72" s="215">
        <f t="shared" si="48"/>
        <v>12148</v>
      </c>
      <c r="Q72" s="215">
        <f t="shared" si="48"/>
        <v>12948</v>
      </c>
      <c r="R72" s="215">
        <f t="shared" si="48"/>
        <v>12148</v>
      </c>
      <c r="S72" s="215">
        <f t="shared" si="48"/>
        <v>10108</v>
      </c>
      <c r="T72" s="215">
        <f t="shared" si="48"/>
        <v>4448</v>
      </c>
      <c r="U72" s="215">
        <f t="shared" si="48"/>
        <v>4448</v>
      </c>
      <c r="V72" s="215">
        <f t="shared" si="48"/>
        <v>4448</v>
      </c>
      <c r="W72" s="506">
        <f>SUM(B72:V72)</f>
        <v>243459.26478703989</v>
      </c>
      <c r="X72" s="507">
        <f>NPV($X$1,Сводный!B72:V72)</f>
        <v>190321.6058420988</v>
      </c>
    </row>
    <row r="73" spans="1:25" ht="15.75" thickBot="1" x14ac:dyDescent="0.3">
      <c r="A73" s="521" t="s">
        <v>500</v>
      </c>
      <c r="B73" s="215">
        <f>B12</f>
        <v>-7603</v>
      </c>
      <c r="C73" s="215">
        <f t="shared" ref="C73:V73" si="49">C12</f>
        <v>1325</v>
      </c>
      <c r="D73" s="215">
        <f t="shared" si="49"/>
        <v>0</v>
      </c>
      <c r="E73" s="215">
        <f t="shared" si="49"/>
        <v>0</v>
      </c>
      <c r="F73" s="215">
        <f t="shared" si="49"/>
        <v>4341</v>
      </c>
      <c r="G73" s="215">
        <f t="shared" si="49"/>
        <v>4390.7</v>
      </c>
      <c r="H73" s="215">
        <f t="shared" si="49"/>
        <v>4397</v>
      </c>
      <c r="I73" s="215">
        <f t="shared" si="49"/>
        <v>3597</v>
      </c>
      <c r="J73" s="215">
        <f t="shared" si="49"/>
        <v>3597</v>
      </c>
      <c r="K73" s="215">
        <f t="shared" si="49"/>
        <v>63897</v>
      </c>
      <c r="L73" s="215">
        <f t="shared" si="49"/>
        <v>63097</v>
      </c>
      <c r="M73" s="215">
        <f t="shared" si="49"/>
        <v>63097</v>
      </c>
      <c r="N73" s="215">
        <f t="shared" si="49"/>
        <v>62988</v>
      </c>
      <c r="O73" s="215">
        <f t="shared" si="49"/>
        <v>62188</v>
      </c>
      <c r="P73" s="215">
        <f t="shared" si="49"/>
        <v>58706.3</v>
      </c>
      <c r="Q73" s="215">
        <f t="shared" si="49"/>
        <v>59500</v>
      </c>
      <c r="R73" s="215">
        <f t="shared" si="49"/>
        <v>59500</v>
      </c>
      <c r="S73" s="215">
        <f t="shared" si="49"/>
        <v>59500</v>
      </c>
      <c r="T73" s="215">
        <f t="shared" si="49"/>
        <v>0</v>
      </c>
      <c r="U73" s="215">
        <f t="shared" si="49"/>
        <v>0</v>
      </c>
      <c r="V73" s="215">
        <f t="shared" si="49"/>
        <v>0</v>
      </c>
      <c r="W73" s="524">
        <f>SUM(B73:V73)</f>
        <v>566518</v>
      </c>
      <c r="X73" s="525">
        <f>NPV($X$1,Сводный!B73:V73)</f>
        <v>431410.6528711766</v>
      </c>
    </row>
    <row r="74" spans="1:25" ht="15.75" thickBot="1" x14ac:dyDescent="0.3">
      <c r="W74" s="506">
        <f>SUM(B74:V74)</f>
        <v>0</v>
      </c>
      <c r="X74" s="507">
        <f>NPV($X$1,Сводный!B74:V74)</f>
        <v>0</v>
      </c>
    </row>
  </sheetData>
  <mergeCells count="1">
    <mergeCell ref="K21:N21"/>
  </mergeCells>
  <pageMargins left="0.35433070866141736" right="0.35433070866141736" top="0.74803149606299213" bottom="0.74803149606299213" header="0.31496062992125984" footer="0.31496062992125984"/>
  <pageSetup paperSize="9" scale="97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6"/>
  <sheetViews>
    <sheetView zoomScale="70" zoomScaleNormal="70" workbookViewId="0">
      <selection activeCell="L4" sqref="L4:L6"/>
    </sheetView>
  </sheetViews>
  <sheetFormatPr defaultRowHeight="15" x14ac:dyDescent="0.25"/>
  <cols>
    <col min="1" max="1" width="0.7109375" customWidth="1"/>
    <col min="2" max="2" width="49.140625" customWidth="1"/>
    <col min="3" max="3" width="18.28515625" customWidth="1"/>
    <col min="4" max="4" width="19.28515625" customWidth="1"/>
    <col min="5" max="5" width="35.140625" customWidth="1"/>
    <col min="6" max="6" width="2.85546875" customWidth="1"/>
    <col min="7" max="7" width="2.28515625" customWidth="1"/>
    <col min="8" max="8" width="13.5703125" customWidth="1"/>
    <col min="9" max="9" width="15.28515625" customWidth="1"/>
    <col min="10" max="10" width="13.5703125" customWidth="1"/>
    <col min="12" max="12" width="9.28515625" bestFit="1" customWidth="1"/>
  </cols>
  <sheetData>
    <row r="1" spans="2:13" ht="3.6" customHeight="1" x14ac:dyDescent="0.25"/>
    <row r="2" spans="2:13" ht="47.25" x14ac:dyDescent="0.25">
      <c r="B2" s="453" t="s">
        <v>450</v>
      </c>
      <c r="C2" s="453" t="s">
        <v>440</v>
      </c>
      <c r="D2" s="453" t="s">
        <v>441</v>
      </c>
      <c r="E2" s="453" t="s">
        <v>442</v>
      </c>
      <c r="H2" t="s">
        <v>440</v>
      </c>
      <c r="I2" t="s">
        <v>441</v>
      </c>
    </row>
    <row r="3" spans="2:13" ht="15.75" x14ac:dyDescent="0.25">
      <c r="B3" s="559" t="s">
        <v>445</v>
      </c>
      <c r="C3" s="560"/>
      <c r="D3" s="560"/>
      <c r="E3" s="561"/>
    </row>
    <row r="4" spans="2:13" ht="14.45" customHeight="1" x14ac:dyDescent="0.25">
      <c r="B4" s="446" t="s">
        <v>446</v>
      </c>
      <c r="C4" s="454">
        <f>Сводный!X4</f>
        <v>31878126.497961242</v>
      </c>
      <c r="D4" s="455" t="s">
        <v>82</v>
      </c>
      <c r="E4" s="571" t="s">
        <v>457</v>
      </c>
      <c r="H4">
        <v>31878103.86881024</v>
      </c>
      <c r="I4" t="s">
        <v>82</v>
      </c>
      <c r="J4" s="247">
        <f>C4-H4</f>
        <v>22.629151001572609</v>
      </c>
      <c r="K4" s="247"/>
      <c r="L4" s="529">
        <f>J4/H4</f>
        <v>7.0986502505605828E-7</v>
      </c>
    </row>
    <row r="5" spans="2:13" ht="15.75" x14ac:dyDescent="0.25">
      <c r="B5" s="446" t="s">
        <v>447</v>
      </c>
      <c r="C5" s="454">
        <f>Сводный!X8</f>
        <v>32309537.150832415</v>
      </c>
      <c r="D5" s="454">
        <f>Сводный!X17</f>
        <v>1858000</v>
      </c>
      <c r="E5" s="572"/>
      <c r="H5">
        <v>32309437.979415711</v>
      </c>
      <c r="I5">
        <v>1858000</v>
      </c>
      <c r="J5" s="247">
        <f t="shared" ref="J5:K16" si="0">C5-H5</f>
        <v>99.171416703611612</v>
      </c>
      <c r="K5" s="247">
        <f t="shared" si="0"/>
        <v>0</v>
      </c>
      <c r="L5" s="529">
        <f t="shared" ref="L5:M16" si="1">J5/H5</f>
        <v>3.0694256200554637E-6</v>
      </c>
      <c r="M5">
        <f t="shared" si="1"/>
        <v>0</v>
      </c>
    </row>
    <row r="6" spans="2:13" ht="15.75" x14ac:dyDescent="0.25">
      <c r="B6" s="446" t="s">
        <v>448</v>
      </c>
      <c r="C6" s="454">
        <f>Сводный!X12</f>
        <v>431410.6528711766</v>
      </c>
      <c r="D6" s="455" t="s">
        <v>82</v>
      </c>
      <c r="E6" s="573"/>
      <c r="H6">
        <v>431334.11060547561</v>
      </c>
      <c r="I6" t="s">
        <v>82</v>
      </c>
      <c r="J6" s="247">
        <f t="shared" si="0"/>
        <v>76.542265700991265</v>
      </c>
      <c r="K6" s="247"/>
      <c r="L6" s="529">
        <f t="shared" si="1"/>
        <v>1.7745470116784128E-4</v>
      </c>
    </row>
    <row r="7" spans="2:13" ht="15.75" x14ac:dyDescent="0.25">
      <c r="B7" s="562" t="s">
        <v>449</v>
      </c>
      <c r="C7" s="563"/>
      <c r="D7" s="563"/>
      <c r="E7" s="564"/>
      <c r="J7" s="247">
        <f t="shared" si="0"/>
        <v>0</v>
      </c>
      <c r="K7" s="247"/>
    </row>
    <row r="8" spans="2:13" ht="31.5" x14ac:dyDescent="0.25">
      <c r="B8" s="451" t="s">
        <v>451</v>
      </c>
      <c r="C8" s="489">
        <f>Сводный!X5</f>
        <v>-36109.574767312348</v>
      </c>
      <c r="D8" s="452" t="s">
        <v>82</v>
      </c>
      <c r="E8" s="574" t="s">
        <v>458</v>
      </c>
      <c r="H8">
        <v>-36109.574767312348</v>
      </c>
      <c r="I8" t="s">
        <v>82</v>
      </c>
      <c r="J8" s="247">
        <f t="shared" si="0"/>
        <v>0</v>
      </c>
      <c r="K8" s="247"/>
    </row>
    <row r="9" spans="2:13" ht="15.75" x14ac:dyDescent="0.25">
      <c r="B9" s="451" t="s">
        <v>452</v>
      </c>
      <c r="C9" s="457">
        <f>Сводный!X9</f>
        <v>45977.41270623295</v>
      </c>
      <c r="D9" s="457">
        <f>Сводный!X18</f>
        <v>-25968.3</v>
      </c>
      <c r="E9" s="575"/>
      <c r="H9">
        <v>45977.41270623295</v>
      </c>
      <c r="I9">
        <v>-25968.3</v>
      </c>
      <c r="J9" s="247">
        <f t="shared" si="0"/>
        <v>0</v>
      </c>
      <c r="K9" s="247">
        <f t="shared" si="0"/>
        <v>0</v>
      </c>
      <c r="L9">
        <f t="shared" si="1"/>
        <v>0</v>
      </c>
      <c r="M9">
        <f t="shared" si="1"/>
        <v>0</v>
      </c>
    </row>
    <row r="10" spans="2:13" ht="15.75" x14ac:dyDescent="0.25">
      <c r="B10" s="451" t="s">
        <v>453</v>
      </c>
      <c r="C10" s="457">
        <f>Сводный!X13</f>
        <v>82086.987473545305</v>
      </c>
      <c r="D10" s="452" t="s">
        <v>82</v>
      </c>
      <c r="E10" s="576"/>
      <c r="H10">
        <v>82086.987473545305</v>
      </c>
      <c r="I10" t="s">
        <v>82</v>
      </c>
      <c r="J10" s="247">
        <f t="shared" si="0"/>
        <v>0</v>
      </c>
      <c r="K10" s="247"/>
      <c r="L10">
        <f t="shared" si="1"/>
        <v>0</v>
      </c>
    </row>
    <row r="11" spans="2:13" ht="31.5" x14ac:dyDescent="0.25">
      <c r="B11" s="449" t="s">
        <v>454</v>
      </c>
      <c r="C11" s="456">
        <f>Сводный!X6</f>
        <v>296.86757498542408</v>
      </c>
      <c r="D11" s="450" t="s">
        <v>443</v>
      </c>
      <c r="E11" s="565" t="s">
        <v>459</v>
      </c>
      <c r="H11">
        <v>274.23842398653522</v>
      </c>
      <c r="I11" t="s">
        <v>443</v>
      </c>
      <c r="J11" s="247">
        <f t="shared" si="0"/>
        <v>22.629150998888861</v>
      </c>
      <c r="K11" s="247"/>
      <c r="L11">
        <f t="shared" si="1"/>
        <v>8.2516339869280766E-2</v>
      </c>
    </row>
    <row r="12" spans="2:13" ht="15.75" x14ac:dyDescent="0.25">
      <c r="B12" s="449" t="s">
        <v>456</v>
      </c>
      <c r="C12" s="456">
        <f>Сводный!X10</f>
        <v>1301.0111596771853</v>
      </c>
      <c r="D12" s="450">
        <f>Сводный!X19</f>
        <v>-800.00000000000011</v>
      </c>
      <c r="E12" s="566"/>
      <c r="H12">
        <v>1201.839742977264</v>
      </c>
      <c r="I12">
        <v>-816</v>
      </c>
      <c r="J12" s="247">
        <f t="shared" si="0"/>
        <v>99.171416699921338</v>
      </c>
      <c r="K12" s="247">
        <f t="shared" si="0"/>
        <v>15.999999999999886</v>
      </c>
      <c r="L12">
        <f t="shared" si="1"/>
        <v>8.2516339869281086E-2</v>
      </c>
      <c r="M12">
        <f t="shared" si="1"/>
        <v>-1.9607843137254763E-2</v>
      </c>
    </row>
    <row r="13" spans="2:13" ht="15.75" x14ac:dyDescent="0.25">
      <c r="B13" s="449" t="s">
        <v>455</v>
      </c>
      <c r="C13" s="456">
        <f>Сводный!X14</f>
        <v>1004.143584691761</v>
      </c>
      <c r="D13" s="450" t="s">
        <v>443</v>
      </c>
      <c r="E13" s="567"/>
      <c r="H13">
        <v>927.60131899072894</v>
      </c>
      <c r="I13" t="s">
        <v>443</v>
      </c>
      <c r="J13" s="247">
        <f t="shared" si="0"/>
        <v>76.542265701032079</v>
      </c>
      <c r="K13" s="247"/>
      <c r="L13">
        <f t="shared" si="1"/>
        <v>8.2516339869280725E-2</v>
      </c>
    </row>
    <row r="14" spans="2:13" ht="31.5" x14ac:dyDescent="0.25">
      <c r="B14" s="447" t="s">
        <v>460</v>
      </c>
      <c r="C14" s="458">
        <f>Сводный!X7</f>
        <v>31913939.205153566</v>
      </c>
      <c r="D14" s="448" t="s">
        <v>443</v>
      </c>
      <c r="E14" s="568" t="s">
        <v>444</v>
      </c>
      <c r="H14">
        <v>31913939.205153566</v>
      </c>
      <c r="I14" t="s">
        <v>443</v>
      </c>
      <c r="J14" s="247">
        <f t="shared" si="0"/>
        <v>0</v>
      </c>
      <c r="K14" s="247"/>
      <c r="L14">
        <f t="shared" si="1"/>
        <v>0</v>
      </c>
      <c r="M14" t="e">
        <f t="shared" si="1"/>
        <v>#VALUE!</v>
      </c>
    </row>
    <row r="15" spans="2:13" ht="31.5" x14ac:dyDescent="0.25">
      <c r="B15" s="447" t="s">
        <v>461</v>
      </c>
      <c r="C15" s="458">
        <f>Сводный!X11</f>
        <v>32262258.726966508</v>
      </c>
      <c r="D15" s="458">
        <f>Сводный!X20</f>
        <v>1870000</v>
      </c>
      <c r="E15" s="569"/>
      <c r="H15">
        <v>32262258.726966508</v>
      </c>
      <c r="I15">
        <v>1870000</v>
      </c>
      <c r="J15" s="247">
        <f t="shared" si="0"/>
        <v>0</v>
      </c>
      <c r="K15" s="247">
        <f t="shared" si="0"/>
        <v>0</v>
      </c>
      <c r="L15">
        <f t="shared" si="1"/>
        <v>0</v>
      </c>
      <c r="M15">
        <f t="shared" si="1"/>
        <v>0</v>
      </c>
    </row>
    <row r="16" spans="2:13" ht="31.5" x14ac:dyDescent="0.25">
      <c r="B16" s="447" t="s">
        <v>462</v>
      </c>
      <c r="C16" s="458">
        <f>Сводный!X15</f>
        <v>348319.52181293961</v>
      </c>
      <c r="D16" s="448" t="s">
        <v>443</v>
      </c>
      <c r="E16" s="570"/>
      <c r="H16">
        <v>348319.52181293961</v>
      </c>
      <c r="I16" t="s">
        <v>443</v>
      </c>
      <c r="J16" s="247">
        <f t="shared" si="0"/>
        <v>0</v>
      </c>
      <c r="K16" s="247"/>
      <c r="L16">
        <f t="shared" si="1"/>
        <v>0</v>
      </c>
    </row>
  </sheetData>
  <mergeCells count="6">
    <mergeCell ref="B3:E3"/>
    <mergeCell ref="B7:E7"/>
    <mergeCell ref="E11:E13"/>
    <mergeCell ref="E14:E16"/>
    <mergeCell ref="E4:E6"/>
    <mergeCell ref="E8:E10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</vt:i4>
      </vt:variant>
    </vt:vector>
  </HeadingPairs>
  <TitlesOfParts>
    <vt:vector size="21" baseType="lpstr">
      <vt:lpstr>ИсхСел</vt:lpstr>
      <vt:lpstr>ИсхСем</vt:lpstr>
      <vt:lpstr>ИсхТовар</vt:lpstr>
      <vt:lpstr>1сел</vt:lpstr>
      <vt:lpstr>2сем</vt:lpstr>
      <vt:lpstr>3товар</vt:lpstr>
      <vt:lpstr>Rate</vt:lpstr>
      <vt:lpstr>Сводный</vt:lpstr>
      <vt:lpstr>Итоги</vt:lpstr>
      <vt:lpstr>SV-C</vt:lpstr>
      <vt:lpstr>ЦенаНаСемена</vt:lpstr>
      <vt:lpstr>Свод21</vt:lpstr>
      <vt:lpstr>Sv-1</vt:lpstr>
      <vt:lpstr>SV-B</vt:lpstr>
      <vt:lpstr>SVсел</vt:lpstr>
      <vt:lpstr>Sv-A</vt:lpstr>
      <vt:lpstr>Лист1</vt:lpstr>
      <vt:lpstr>Общ - 1</vt:lpstr>
      <vt:lpstr>25X</vt:lpstr>
      <vt:lpstr>24окт</vt:lpstr>
      <vt:lpstr>'25X'!_GoBack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cnv</dc:creator>
  <cp:lastModifiedBy>Валерий</cp:lastModifiedBy>
  <cp:lastPrinted>2021-12-26T10:49:42Z</cp:lastPrinted>
  <dcterms:created xsi:type="dcterms:W3CDTF">2021-11-21T08:55:28Z</dcterms:created>
  <dcterms:modified xsi:type="dcterms:W3CDTF">2023-08-17T10:15:32Z</dcterms:modified>
</cp:coreProperties>
</file>